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showInkAnnotation="0" defaultThemeVersion="124226"/>
  <mc:AlternateContent xmlns:mc="http://schemas.openxmlformats.org/markup-compatibility/2006">
    <mc:Choice Requires="x15">
      <x15ac:absPath xmlns:x15ac="http://schemas.microsoft.com/office/spreadsheetml/2010/11/ac" url="https://skogkursbiri.sharepoint.com/sites/Skogskjtsel/Delte dokumenter/Tynning/Prosjektresultater/611055 Tiltak i tett eller forsømt skog/"/>
    </mc:Choice>
  </mc:AlternateContent>
  <xr:revisionPtr revIDLastSave="0" documentId="8_{5BBCEB0C-575D-457E-BE17-44F5822B886D}" xr6:coauthVersionLast="47" xr6:coauthVersionMax="47" xr10:uidLastSave="{00000000-0000-0000-0000-000000000000}"/>
  <workbookProtection workbookAlgorithmName="SHA-512" workbookHashValue="VUnTwXFzXfadRjnvvUikq+ZybAASzCEZAZSyN7l2BGNVLDLTVWTvoZTjLidfpOR9X6qEuidH7imVFGAwOdAvzg==" workbookSaltValue="OTrgNrLejiCTsb0BppLjuw==" workbookSpinCount="100000" lockStructure="1"/>
  <bookViews>
    <workbookView showSheetTabs="0" xWindow="-120" yWindow="-120" windowWidth="29040" windowHeight="15720" tabRatio="699" xr2:uid="{00000000-000D-0000-FFFF-FFFF00000000}"/>
  </bookViews>
  <sheets>
    <sheet name="FORSIDE" sheetId="12" r:id="rId1"/>
    <sheet name="FS 2" sheetId="16" state="hidden" r:id="rId2"/>
    <sheet name="KOSTNAD RYDDETRÆR" sheetId="14" r:id="rId3"/>
    <sheet name="MASKINPRODUKTIVITET" sheetId="6" r:id="rId4"/>
    <sheet name="MP 2" sheetId="18" state="hidden" r:id="rId5"/>
    <sheet name="HOGSTMASKIN (G0)" sheetId="1" state="hidden" r:id="rId6"/>
    <sheet name="HM 2" sheetId="17" state="hidden" r:id="rId7"/>
    <sheet name="PROD.NORMER TABELL" sheetId="4" state="hidden" r:id="rId8"/>
    <sheet name="PN 2" sheetId="19" state="hidden" r:id="rId9"/>
    <sheet name="LASSBÆRER (G15)" sheetId="2" state="hidden" r:id="rId10"/>
    <sheet name="LB 2" sheetId="22" state="hidden" r:id="rId11"/>
    <sheet name="HJELPETABELLER" sheetId="3" state="hidden" r:id="rId12"/>
    <sheet name="HJELPETABELL 2" sheetId="5" state="hidden" r:id="rId13"/>
    <sheet name="HJELPETAB. TYNNING OG SKOGFOND" sheetId="13" state="hidden" r:id="rId14"/>
  </sheets>
  <externalReferences>
    <externalReference r:id="rId15"/>
  </externalReferences>
  <definedNames>
    <definedName name="_12.10.2016">MASKINPRODUKTIVITET!#REF!</definedName>
    <definedName name="_Antall_m3">MASKINPRODUKTIVITET!#REF!</definedName>
    <definedName name="_m3_lassbærer">MASKINPRODUKTIVITET!#REF!</definedName>
    <definedName name="Antall_m3">MASKINPRODUKTIVITET!#REF!</definedName>
    <definedName name="Bonitet">'HJELPETAB. TYNNING OG SKOGFOND'!$B$14:$B$20</definedName>
    <definedName name="Forventet_sluttdato">MASKINPRODUKTIVITET!#REF!</definedName>
    <definedName name="Height">MASKINPRODUKTIVITET!#REF!</definedName>
    <definedName name="Hovedtreslag">'HJELPETAB. TYNNING OG SKOGFOND'!$A$14:$A$16</definedName>
    <definedName name="M3_hogstmaskin">MASKINPRODUKTIVITET!#REF!</definedName>
    <definedName name="M3_lassbærer">MASKINPRODUKTIVITET!#REF!</definedName>
    <definedName name="MASKINKOSTNAD">MASKINPRODUKTIVITET!#REF!</definedName>
    <definedName name="MålDato">MASKINPRODUKTIVITET!#REF!</definedName>
    <definedName name="MålVekt">MASKINPRODUKTIVITET!#REF!</definedName>
    <definedName name="ProsentDer">MASKINPRODUKTIVITET!#REF!</definedName>
    <definedName name="SisteVekt">INDEX([1]Dataregistrering!$C:$C,MATCH(9.999E+307,[1]Dataregistrering!$C:$C),1)</definedName>
    <definedName name="StartDato">MASKINPRODUKTIVITET!$C$8</definedName>
    <definedName name="_xlnm.Print_Area" localSheetId="0">FORSIDE!$A$1:$P$46</definedName>
    <definedName name="_xlnm.Print_Area" localSheetId="11">HJELPETABELLER!$A$5:$K$40</definedName>
    <definedName name="_xlnm.Print_Area" localSheetId="5">'HOGSTMASKIN (G0)'!$A$4:$T$27</definedName>
    <definedName name="_xlnm.Print_Area" localSheetId="2">'KOSTNAD RYDDETRÆR'!$A$1:$V$35</definedName>
    <definedName name="_xlnm.Print_Area" localSheetId="9">'LASSBÆRER (G15)'!$A$4:$T$38</definedName>
    <definedName name="_xlnm.Print_Area" localSheetId="3">MASKINPRODUKTIVITET!$A$1:$AB$20</definedName>
    <definedName name="_xlnm.Print_Area" localSheetId="7">'PROD.NORMER TABELL'!$A$4:$J$41</definedName>
    <definedName name="Vekt">MASKINPRODUKTIVITET!#REF!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3" l="1"/>
  <c r="Q24" i="13"/>
  <c r="Q25" i="13"/>
  <c r="Q26" i="13"/>
  <c r="Q27" i="13"/>
  <c r="Q28" i="13"/>
  <c r="Q29" i="13"/>
  <c r="Q30" i="13"/>
  <c r="Q31" i="13"/>
  <c r="Q32" i="13"/>
  <c r="Q22" i="13"/>
  <c r="Q8" i="13"/>
  <c r="Q9" i="13"/>
  <c r="Q10" i="13"/>
  <c r="Q11" i="13"/>
  <c r="Q12" i="13"/>
  <c r="Q13" i="13"/>
  <c r="Q14" i="13"/>
  <c r="Q15" i="13"/>
  <c r="Q16" i="13"/>
  <c r="Q17" i="13"/>
  <c r="H18" i="12" l="1"/>
  <c r="E16" i="18" l="1"/>
  <c r="M10" i="13" l="1"/>
  <c r="R16" i="18"/>
  <c r="Q20" i="22"/>
  <c r="Q22" i="22" s="1"/>
  <c r="J29" i="22"/>
  <c r="J30" i="22"/>
  <c r="J31" i="22"/>
  <c r="J16" i="22"/>
  <c r="J33" i="22" s="1"/>
  <c r="J12" i="22"/>
  <c r="C23" i="22"/>
  <c r="C22" i="22"/>
  <c r="C19" i="22"/>
  <c r="Q30" i="22"/>
  <c r="Q32" i="22" s="1"/>
  <c r="J14" i="22"/>
  <c r="J13" i="22"/>
  <c r="J15" i="22" s="1"/>
  <c r="H13" i="19"/>
  <c r="I13" i="19"/>
  <c r="J22" i="17"/>
  <c r="J26" i="17" s="1"/>
  <c r="D12" i="19" s="1"/>
  <c r="I12" i="19" s="1"/>
  <c r="Q20" i="17"/>
  <c r="E18" i="16"/>
  <c r="E16" i="16"/>
  <c r="G13" i="16"/>
  <c r="F13" i="16"/>
  <c r="E13" i="16"/>
  <c r="D13" i="16"/>
  <c r="G12" i="16"/>
  <c r="F12" i="16"/>
  <c r="E12" i="16"/>
  <c r="D12" i="16"/>
  <c r="G11" i="16"/>
  <c r="F11" i="16"/>
  <c r="E11" i="16"/>
  <c r="D11" i="16"/>
  <c r="F8" i="16"/>
  <c r="C8" i="16"/>
  <c r="C6" i="16"/>
  <c r="C20" i="17"/>
  <c r="C19" i="17"/>
  <c r="C16" i="17"/>
  <c r="C17" i="17"/>
  <c r="Q12" i="17"/>
  <c r="S8" i="14"/>
  <c r="S10" i="14"/>
  <c r="J32" i="22" l="1"/>
  <c r="J35" i="22" s="1"/>
  <c r="J18" i="22"/>
  <c r="H12" i="19"/>
  <c r="E24" i="12"/>
  <c r="C4" i="13"/>
  <c r="D4" i="13"/>
  <c r="E4" i="13"/>
  <c r="F4" i="13"/>
  <c r="G4" i="13"/>
  <c r="H4" i="13"/>
  <c r="D5" i="13"/>
  <c r="E5" i="13"/>
  <c r="F5" i="13"/>
  <c r="G5" i="13"/>
  <c r="H5" i="13"/>
  <c r="B6" i="13"/>
  <c r="C6" i="13"/>
  <c r="D6" i="13"/>
  <c r="E6" i="13"/>
  <c r="F6" i="13"/>
  <c r="C7" i="13"/>
  <c r="D7" i="13"/>
  <c r="E7" i="13"/>
  <c r="F7" i="13"/>
  <c r="K8" i="13"/>
  <c r="L8" i="13"/>
  <c r="M8" i="13"/>
  <c r="N8" i="13"/>
  <c r="O8" i="13"/>
  <c r="P8" i="13"/>
  <c r="K9" i="13"/>
  <c r="L9" i="13"/>
  <c r="M9" i="13"/>
  <c r="N9" i="13"/>
  <c r="O9" i="13"/>
  <c r="P9" i="13"/>
  <c r="B10" i="13"/>
  <c r="C10" i="13"/>
  <c r="D10" i="13"/>
  <c r="G10" i="13"/>
  <c r="H10" i="13"/>
  <c r="K10" i="13"/>
  <c r="L10" i="13"/>
  <c r="N10" i="13"/>
  <c r="O10" i="13"/>
  <c r="P10" i="13"/>
  <c r="B11" i="13"/>
  <c r="C11" i="13"/>
  <c r="D11" i="13"/>
  <c r="E11" i="13"/>
  <c r="F11" i="13"/>
  <c r="G11" i="13"/>
  <c r="H11" i="13"/>
  <c r="K11" i="13"/>
  <c r="L11" i="13"/>
  <c r="M11" i="13"/>
  <c r="N11" i="13"/>
  <c r="O11" i="13"/>
  <c r="P11" i="13"/>
  <c r="K12" i="13"/>
  <c r="L12" i="13"/>
  <c r="M12" i="13"/>
  <c r="N12" i="13"/>
  <c r="O12" i="13"/>
  <c r="P12" i="13"/>
  <c r="K13" i="13"/>
  <c r="L13" i="13"/>
  <c r="M13" i="13"/>
  <c r="N13" i="13"/>
  <c r="O13" i="13"/>
  <c r="P13" i="13"/>
  <c r="K14" i="13"/>
  <c r="L14" i="13"/>
  <c r="M14" i="13"/>
  <c r="N14" i="13"/>
  <c r="O14" i="13"/>
  <c r="P14" i="13"/>
  <c r="K15" i="13"/>
  <c r="L15" i="13"/>
  <c r="M15" i="13"/>
  <c r="N15" i="13"/>
  <c r="O15" i="13"/>
  <c r="P15" i="13"/>
  <c r="K16" i="13"/>
  <c r="L16" i="13"/>
  <c r="M16" i="13"/>
  <c r="N16" i="13"/>
  <c r="O16" i="13"/>
  <c r="P16" i="13"/>
  <c r="K17" i="13"/>
  <c r="L17" i="13"/>
  <c r="M17" i="13"/>
  <c r="N17" i="13"/>
  <c r="O17" i="13"/>
  <c r="P17" i="13"/>
  <c r="K22" i="13"/>
  <c r="K23" i="13" s="1"/>
  <c r="L22" i="13"/>
  <c r="L23" i="13" s="1"/>
  <c r="M22" i="13"/>
  <c r="M23" i="13" s="1"/>
  <c r="N22" i="13"/>
  <c r="O22" i="13"/>
  <c r="O23" i="13" s="1"/>
  <c r="P22" i="13"/>
  <c r="P23" i="13" s="1"/>
  <c r="N23" i="13"/>
  <c r="L24" i="13"/>
  <c r="M24" i="13"/>
  <c r="N24" i="13"/>
  <c r="P24" i="13"/>
  <c r="N25" i="13"/>
  <c r="L26" i="13"/>
  <c r="M26" i="13"/>
  <c r="N26" i="13"/>
  <c r="O26" i="13"/>
  <c r="P26" i="13"/>
  <c r="M27" i="13"/>
  <c r="N27" i="13"/>
  <c r="L28" i="13"/>
  <c r="N28" i="13"/>
  <c r="O28" i="13"/>
  <c r="P28" i="13"/>
  <c r="N29" i="13"/>
  <c r="L30" i="13"/>
  <c r="M30" i="13"/>
  <c r="N30" i="13"/>
  <c r="P30" i="13"/>
  <c r="M31" i="13"/>
  <c r="N31" i="13"/>
  <c r="L32" i="13"/>
  <c r="M32" i="13"/>
  <c r="N32" i="13"/>
  <c r="P32" i="13"/>
  <c r="H17" i="12"/>
  <c r="H11" i="16" s="1"/>
  <c r="H12" i="16"/>
  <c r="H19" i="12"/>
  <c r="H13" i="16" s="1"/>
  <c r="D20" i="12"/>
  <c r="F10" i="13" s="1"/>
  <c r="E20" i="12"/>
  <c r="E14" i="16" s="1"/>
  <c r="F20" i="12"/>
  <c r="F14" i="16" s="1"/>
  <c r="G20" i="12"/>
  <c r="G14" i="16" s="1"/>
  <c r="O32" i="13" l="1"/>
  <c r="O24" i="13"/>
  <c r="O30" i="13"/>
  <c r="M28" i="13"/>
  <c r="M29" i="13"/>
  <c r="K24" i="13"/>
  <c r="K28" i="13"/>
  <c r="K32" i="13"/>
  <c r="K26" i="13"/>
  <c r="K30" i="13"/>
  <c r="M25" i="13"/>
  <c r="E26" i="12"/>
  <c r="D14" i="16"/>
  <c r="E20" i="16" s="1"/>
  <c r="H20" i="12"/>
  <c r="E27" i="12" s="1"/>
  <c r="E10" i="13"/>
  <c r="P31" i="13"/>
  <c r="L31" i="13"/>
  <c r="P29" i="13"/>
  <c r="L29" i="13"/>
  <c r="P27" i="13"/>
  <c r="L27" i="13"/>
  <c r="P25" i="13"/>
  <c r="L25" i="13"/>
  <c r="O31" i="13"/>
  <c r="K31" i="13"/>
  <c r="O29" i="13"/>
  <c r="K29" i="13"/>
  <c r="O27" i="13"/>
  <c r="K27" i="13"/>
  <c r="O25" i="13"/>
  <c r="K25" i="13"/>
  <c r="E27" i="16" l="1"/>
  <c r="E33" i="12"/>
  <c r="E29" i="12"/>
  <c r="H14" i="16"/>
  <c r="J14" i="2"/>
  <c r="J13" i="2"/>
  <c r="E21" i="16" l="1"/>
  <c r="C22" i="1"/>
  <c r="C21" i="2" s="1"/>
  <c r="E31" i="12"/>
  <c r="D8" i="6" s="1"/>
  <c r="Q8" i="6" s="1"/>
  <c r="E35" i="12"/>
  <c r="E37" i="12" s="1"/>
  <c r="C18" i="1" s="1"/>
  <c r="J15" i="2"/>
  <c r="J18" i="2" s="1"/>
  <c r="I13" i="4"/>
  <c r="H13" i="4"/>
  <c r="J33" i="2"/>
  <c r="J32" i="2"/>
  <c r="Q30" i="2"/>
  <c r="Q32" i="2" s="1"/>
  <c r="Q22" i="2"/>
  <c r="Q12" i="1"/>
  <c r="J26" i="1"/>
  <c r="D12" i="4" s="1"/>
  <c r="J9" i="3"/>
  <c r="J8" i="3"/>
  <c r="J7" i="3"/>
  <c r="E23" i="16" l="1"/>
  <c r="F31" i="14" s="1"/>
  <c r="C23" i="1"/>
  <c r="H12" i="4"/>
  <c r="I12" i="4"/>
  <c r="Q19" i="1"/>
  <c r="Q22" i="1" s="1"/>
  <c r="D14" i="4" s="1"/>
  <c r="H14" i="4" s="1"/>
  <c r="J11" i="1"/>
  <c r="J13" i="1" s="1"/>
  <c r="C20" i="2"/>
  <c r="Q9" i="2" s="1"/>
  <c r="Q11" i="2" s="1"/>
  <c r="Q13" i="2" s="1"/>
  <c r="C21" i="1"/>
  <c r="J35" i="2"/>
  <c r="C25" i="2"/>
  <c r="E25" i="16" l="1"/>
  <c r="D8" i="18" s="1"/>
  <c r="Q8" i="18" s="1"/>
  <c r="E29" i="16"/>
  <c r="E31" i="16" s="1"/>
  <c r="C18" i="17" s="1"/>
  <c r="F32" i="14"/>
  <c r="C22" i="17"/>
  <c r="C21" i="22" s="1"/>
  <c r="C25" i="22" s="1"/>
  <c r="C25" i="1"/>
  <c r="C26" i="1" s="1"/>
  <c r="D10" i="4" s="1"/>
  <c r="J14" i="1"/>
  <c r="D11" i="4" s="1"/>
  <c r="I14" i="4"/>
  <c r="J37" i="2"/>
  <c r="E24" i="4" s="1"/>
  <c r="H24" i="4" s="1"/>
  <c r="C27" i="2"/>
  <c r="E22" i="4" s="1"/>
  <c r="I22" i="4" s="1"/>
  <c r="Q24" i="2"/>
  <c r="E26" i="4" s="1"/>
  <c r="I26" i="4" s="1"/>
  <c r="Q34" i="2"/>
  <c r="E27" i="4" s="1"/>
  <c r="I27" i="4" s="1"/>
  <c r="J20" i="2"/>
  <c r="E23" i="4" s="1"/>
  <c r="I23" i="4" s="1"/>
  <c r="E25" i="4"/>
  <c r="I25" i="4" s="1"/>
  <c r="J11" i="17" l="1"/>
  <c r="J13" i="17" s="1"/>
  <c r="J14" i="17" s="1"/>
  <c r="D11" i="19" s="1"/>
  <c r="I11" i="19" s="1"/>
  <c r="Q19" i="17"/>
  <c r="Q22" i="17" s="1"/>
  <c r="D14" i="19" s="1"/>
  <c r="H14" i="19" s="1"/>
  <c r="C21" i="17"/>
  <c r="C25" i="17" s="1"/>
  <c r="C26" i="17" s="1"/>
  <c r="D10" i="19" s="1"/>
  <c r="H10" i="19" s="1"/>
  <c r="C20" i="22"/>
  <c r="Q24" i="22" s="1"/>
  <c r="E26" i="19" s="1"/>
  <c r="H26" i="19" s="1"/>
  <c r="C23" i="17"/>
  <c r="I10" i="4"/>
  <c r="H10" i="4"/>
  <c r="H11" i="4"/>
  <c r="I11" i="4"/>
  <c r="H23" i="4"/>
  <c r="I24" i="4"/>
  <c r="I28" i="4" s="1"/>
  <c r="I29" i="4" s="1"/>
  <c r="S11" i="6" s="1"/>
  <c r="H22" i="4"/>
  <c r="H27" i="4"/>
  <c r="H25" i="4"/>
  <c r="H26" i="4"/>
  <c r="H11" i="19" l="1"/>
  <c r="H15" i="19" s="1"/>
  <c r="H16" i="19" s="1"/>
  <c r="Q9" i="22"/>
  <c r="Q11" i="22" s="1"/>
  <c r="Q13" i="22" s="1"/>
  <c r="E25" i="19" s="1"/>
  <c r="H25" i="19" s="1"/>
  <c r="J20" i="22"/>
  <c r="E23" i="19" s="1"/>
  <c r="I23" i="19" s="1"/>
  <c r="C27" i="22"/>
  <c r="E22" i="19" s="1"/>
  <c r="H22" i="19" s="1"/>
  <c r="Q34" i="22"/>
  <c r="E27" i="19" s="1"/>
  <c r="I27" i="19" s="1"/>
  <c r="J37" i="22"/>
  <c r="E24" i="19" s="1"/>
  <c r="H24" i="19" s="1"/>
  <c r="I14" i="19"/>
  <c r="I10" i="19"/>
  <c r="I26" i="19"/>
  <c r="H15" i="4"/>
  <c r="H16" i="4" s="1"/>
  <c r="I15" i="4"/>
  <c r="I16" i="4" s="1"/>
  <c r="X9" i="6"/>
  <c r="X11" i="6" s="1"/>
  <c r="P11" i="6"/>
  <c r="Q11" i="6"/>
  <c r="P11" i="18"/>
  <c r="H28" i="4"/>
  <c r="H29" i="4" s="1"/>
  <c r="I25" i="19" l="1"/>
  <c r="H27" i="19"/>
  <c r="H23" i="19"/>
  <c r="I24" i="19"/>
  <c r="I22" i="19"/>
  <c r="I15" i="19"/>
  <c r="I16" i="19" s="1"/>
  <c r="K9" i="18" s="1"/>
  <c r="G16" i="18" s="1"/>
  <c r="S12" i="14" s="1"/>
  <c r="D16" i="18"/>
  <c r="U30" i="14" s="1"/>
  <c r="S14" i="14" s="1"/>
  <c r="F11" i="6"/>
  <c r="C11" i="18"/>
  <c r="K9" i="6"/>
  <c r="G16" i="6" s="1"/>
  <c r="F12" i="14" s="1"/>
  <c r="C11" i="6"/>
  <c r="D16" i="6"/>
  <c r="F30" i="14" s="1"/>
  <c r="D11" i="6"/>
  <c r="D11" i="18"/>
  <c r="Q16" i="6"/>
  <c r="Q16" i="18"/>
  <c r="T16" i="6"/>
  <c r="F16" i="14" s="1"/>
  <c r="H28" i="19" l="1"/>
  <c r="H29" i="19" s="1"/>
  <c r="I28" i="19"/>
  <c r="I29" i="19" s="1"/>
  <c r="X9" i="18" s="1"/>
  <c r="T16" i="18" s="1"/>
  <c r="S16" i="14" s="1"/>
  <c r="S18" i="14" s="1"/>
  <c r="F11" i="18"/>
  <c r="K11" i="18"/>
  <c r="F14" i="14"/>
  <c r="F18" i="14" s="1"/>
  <c r="K11" i="6"/>
  <c r="X11" i="18" l="1"/>
  <c r="Q11" i="18"/>
  <c r="S11" i="18"/>
  <c r="F3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Geir Myklestad</author>
    <author>Steinar Lyshaug</author>
    <author>Geir</author>
    <author>Mikael</author>
  </authors>
  <commentList>
    <comment ref="D17" authorId="0" shapeId="0" xr:uid="{00000000-0006-0000-0000-000002000000}">
      <text>
        <r>
          <rPr>
            <sz val="11"/>
            <color indexed="81"/>
            <rFont val="Tahoma"/>
            <family val="2"/>
          </rPr>
          <t xml:space="preserve">Grunnflatesum kan som regel leses ut Fra skogbruksplanen hvis tallene i planen er "ferske".
</t>
        </r>
        <r>
          <rPr>
            <sz val="9"/>
            <color indexed="81"/>
            <rFont val="Tahoma"/>
            <family val="2"/>
          </rPr>
          <t xml:space="preserve">
</t>
        </r>
      </text>
    </comment>
    <comment ref="E17" authorId="0" shapeId="0" xr:uid="{00000000-0006-0000-0000-000003000000}">
      <text>
        <r>
          <rPr>
            <sz val="11"/>
            <color indexed="81"/>
            <rFont val="Tahoma"/>
            <family val="2"/>
          </rPr>
          <t>Dette tallet er ofte oppgitt i nyere skogbruksplaner. Kan også telles innen ei sirkelflate på 50 m2 (Radius på 3,99m). Antallet multipliseres med 20 for å få antall trær pr dekar.</t>
        </r>
        <r>
          <rPr>
            <sz val="9"/>
            <color indexed="81"/>
            <rFont val="Tahoma"/>
            <family val="2"/>
          </rPr>
          <t xml:space="preserve">
 </t>
        </r>
      </text>
    </comment>
    <comment ref="F17" authorId="0" shapeId="0" xr:uid="{00000000-0006-0000-0000-000004000000}">
      <text>
        <r>
          <rPr>
            <sz val="11"/>
            <color indexed="81"/>
            <rFont val="Tahoma"/>
            <family val="2"/>
          </rPr>
          <t>Antall ryddetrær pr. daa som bør ryddes vekk som er under 8 cm i brysthøyde.
(Telles i sirkelflate på 50 m</t>
        </r>
        <r>
          <rPr>
            <vertAlign val="superscript"/>
            <sz val="11"/>
            <color indexed="81"/>
            <rFont val="Tahoma"/>
            <family val="2"/>
          </rPr>
          <t>2</t>
        </r>
        <r>
          <rPr>
            <sz val="11"/>
            <color indexed="81"/>
            <rFont val="Tahoma"/>
            <family val="2"/>
          </rPr>
          <t>)</t>
        </r>
      </text>
    </comment>
    <comment ref="G17" authorId="0" shapeId="0" xr:uid="{00000000-0006-0000-0000-000005000000}">
      <text>
        <r>
          <rPr>
            <sz val="11"/>
            <color indexed="81"/>
            <rFont val="Tahoma"/>
            <family val="2"/>
          </rPr>
          <t>Gj.snittshøyden målt på de 10 grøvste trærne pr. dekar. Brukes tall fra skogbruksplanen, må det legges på to meter for å kunne registrere riktig overhøyde i dette skjemaet.</t>
        </r>
        <r>
          <rPr>
            <sz val="9"/>
            <color indexed="81"/>
            <rFont val="Tahoma"/>
            <family val="2"/>
          </rPr>
          <t xml:space="preserve"> 
</t>
        </r>
      </text>
    </comment>
    <comment ref="F20" authorId="1" shapeId="0" xr:uid="{00000000-0006-0000-0000-000006000000}">
      <text>
        <r>
          <rPr>
            <b/>
            <sz val="9"/>
            <color indexed="81"/>
            <rFont val="Tahoma"/>
            <family val="2"/>
          </rPr>
          <t>Steinar Lyshaug:</t>
        </r>
        <r>
          <rPr>
            <sz val="9"/>
            <color indexed="81"/>
            <rFont val="Tahoma"/>
            <family val="2"/>
          </rPr>
          <t xml:space="preserve">
10-25% forventes opparbeidet, selv om det er dårlig butikk.</t>
        </r>
      </text>
    </comment>
    <comment ref="E22" authorId="2" shapeId="0" xr:uid="{00000000-0006-0000-0000-000007000000}">
      <text>
        <r>
          <rPr>
            <b/>
            <sz val="14"/>
            <color indexed="81"/>
            <rFont val="Tahoma"/>
            <family val="2"/>
          </rPr>
          <t>Følg med på diagrammet til høyre:</t>
        </r>
        <r>
          <rPr>
            <sz val="11"/>
            <color indexed="81"/>
            <rFont val="Tahoma"/>
            <family val="2"/>
          </rPr>
          <t xml:space="preserve">
Det gule punktet må ikke komme under bandet for treslaget du skal tynne.                                              
</t>
        </r>
        <r>
          <rPr>
            <b/>
            <sz val="11"/>
            <color indexed="81"/>
            <rFont val="Tahoma"/>
            <family val="2"/>
          </rPr>
          <t>Arealavkastningen går betydelig ned når du kommer til hovedhogsten dersom det settes igjen for lite i tynningen!</t>
        </r>
        <r>
          <rPr>
            <sz val="11"/>
            <color indexed="81"/>
            <rFont val="Tahoma"/>
            <family val="2"/>
          </rPr>
          <t xml:space="preserve">
</t>
        </r>
      </text>
    </comment>
    <comment ref="E24" authorId="3" shapeId="0" xr:uid="{00000000-0006-0000-0000-000008000000}">
      <text>
        <r>
          <rPr>
            <sz val="11"/>
            <color indexed="81"/>
            <rFont val="Tahoma"/>
            <family val="2"/>
          </rPr>
          <t>Endres i arkfanen "Kostnad ryddetrær"</t>
        </r>
      </text>
    </comment>
    <comment ref="E26" authorId="3" shapeId="0" xr:uid="{00000000-0006-0000-0000-000009000000}">
      <text>
        <r>
          <rPr>
            <b/>
            <sz val="11"/>
            <color indexed="81"/>
            <rFont val="Tahoma"/>
            <family val="2"/>
          </rPr>
          <t>Tynningsstyrken anbefales ikke større enn 35 % pga økt fare for vind- og snøbrekkskader.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Geir</author>
    <author>Geir Myklestad</author>
    <author>Mikael</author>
  </authors>
  <commentList>
    <comment ref="C6" authorId="0" shapeId="0" xr:uid="{00000000-0006-0000-0100-000001000000}">
      <text>
        <r>
          <rPr>
            <sz val="8"/>
            <color indexed="81"/>
            <rFont val="Tahoma"/>
            <family val="2"/>
          </rPr>
          <t>Skriv inn navn på skogeier</t>
        </r>
      </text>
    </comment>
    <comment ref="D11" authorId="1" shapeId="0" xr:uid="{00000000-0006-0000-0100-000002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1" authorId="1" shapeId="0" xr:uid="{00000000-0006-0000-0100-000003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1" authorId="1" shapeId="0" xr:uid="{00000000-0006-0000-0100-000004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1" authorId="1" shapeId="0" xr:uid="{00000000-0006-0000-0100-000005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1" authorId="1" shapeId="0" xr:uid="{00000000-0006-0000-0100-000006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D12" authorId="1" shapeId="0" xr:uid="{00000000-0006-0000-0100-000007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2" authorId="1" shapeId="0" xr:uid="{00000000-0006-0000-0100-000008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2" authorId="1" shapeId="0" xr:uid="{00000000-0006-0000-0100-000009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2" authorId="1" shapeId="0" xr:uid="{00000000-0006-0000-0100-00000A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2" authorId="1" shapeId="0" xr:uid="{00000000-0006-0000-0100-00000B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D13" authorId="1" shapeId="0" xr:uid="{00000000-0006-0000-0100-00000C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3" authorId="1" shapeId="0" xr:uid="{00000000-0006-0000-0100-00000D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3" authorId="1" shapeId="0" xr:uid="{00000000-0006-0000-0100-00000E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3" authorId="1" shapeId="0" xr:uid="{00000000-0006-0000-0100-00000F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3" authorId="1" shapeId="0" xr:uid="{00000000-0006-0000-0100-000010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D14" authorId="1" shapeId="0" xr:uid="{00000000-0006-0000-0100-000011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4" authorId="1" shapeId="0" xr:uid="{00000000-0006-0000-0100-000012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4" authorId="1" shapeId="0" xr:uid="{00000000-0006-0000-0100-000013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4" authorId="1" shapeId="0" xr:uid="{00000000-0006-0000-0100-000014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4" authorId="1" shapeId="0" xr:uid="{00000000-0006-0000-0100-000015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6" authorId="1" shapeId="0" xr:uid="{00000000-0006-0000-0100-000016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20" authorId="2" shapeId="0" xr:uid="{00000000-0006-0000-0100-000017000000}">
      <text>
        <r>
          <rPr>
            <b/>
            <sz val="11"/>
            <color indexed="81"/>
            <rFont val="Tahoma"/>
            <family val="2"/>
          </rPr>
          <t>Tynningsstyrken anbefales ikke større enn 35 % pga økt fare for vind- og snøbrekkskader.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Mikael</author>
  </authors>
  <commentList>
    <comment ref="F28" authorId="0" shapeId="0" xr:uid="{00000000-0006-0000-0200-000001000000}">
      <text>
        <r>
          <rPr>
            <b/>
            <sz val="14"/>
            <color indexed="81"/>
            <rFont val="Tahoma"/>
            <family val="2"/>
          </rPr>
          <t>2022-satser</t>
        </r>
      </text>
    </comment>
    <comment ref="F31" authorId="0" shapeId="0" xr:uid="{7A5D8117-00FA-4086-BE65-6646CC79F05D}">
      <text>
        <r>
          <rPr>
            <b/>
            <sz val="14"/>
            <color indexed="81"/>
            <rFont val="Tahoma"/>
            <family val="2"/>
          </rPr>
          <t>Forutsatt maskinkostnad 600 kr pr m³</t>
        </r>
        <r>
          <rPr>
            <b/>
            <sz val="9"/>
            <color indexed="81"/>
            <rFont val="Tahoma"/>
            <family val="2"/>
          </rPr>
          <t xml:space="preserve">
</t>
        </r>
        <r>
          <rPr>
            <b/>
            <i/>
            <sz val="12"/>
            <color indexed="81"/>
            <rFont val="Tahoma"/>
            <family val="2"/>
          </rPr>
          <t>(se tekstboks til høyre)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Mikael</author>
  </authors>
  <commentList>
    <comment ref="C11" authorId="0" shapeId="0" xr:uid="{00000000-0006-0000-0300-000001000000}">
      <text>
        <r>
          <rPr>
            <b/>
            <sz val="14"/>
            <color indexed="81"/>
            <rFont val="Tahoma"/>
            <family val="2"/>
          </rPr>
          <t>NB!</t>
        </r>
        <r>
          <rPr>
            <b/>
            <sz val="9"/>
            <color indexed="81"/>
            <rFont val="Tahoma"/>
            <family val="2"/>
          </rPr>
          <t xml:space="preserve">
</t>
        </r>
        <r>
          <rPr>
            <b/>
            <sz val="14"/>
            <color indexed="81"/>
            <rFont val="Tahoma"/>
            <family val="2"/>
          </rPr>
          <t>Det er ikke gjort fratrekk for fridager og bevegelige helligdager.</t>
        </r>
        <r>
          <rPr>
            <b/>
            <sz val="9"/>
            <color indexed="81"/>
            <rFont val="Tahoma"/>
            <family val="2"/>
          </rPr>
          <t xml:space="preserve">
</t>
        </r>
      </text>
    </comment>
    <comment ref="P11" authorId="0" shapeId="0" xr:uid="{00000000-0006-0000-0300-000002000000}">
      <text>
        <r>
          <rPr>
            <b/>
            <sz val="14"/>
            <color indexed="81"/>
            <rFont val="Tahoma"/>
            <family val="2"/>
          </rPr>
          <t>NB!
Det er ikke gjort fratrekk for fridager og bevegelige helligdager.</t>
        </r>
        <r>
          <rPr>
            <b/>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Mikael</author>
    <author>Mikael Fønhus</author>
  </authors>
  <commentList>
    <comment ref="J13" authorId="0" shapeId="0" xr:uid="{00000000-0006-0000-0500-000001000000}">
      <text>
        <r>
          <rPr>
            <b/>
            <sz val="9"/>
            <color indexed="81"/>
            <rFont val="Tahoma"/>
            <family val="2"/>
          </rPr>
          <t>Mikael:</t>
        </r>
        <r>
          <rPr>
            <sz val="9"/>
            <color indexed="81"/>
            <rFont val="Tahoma"/>
            <family val="2"/>
          </rPr>
          <t xml:space="preserve">
Juster fra 100 til 67</t>
        </r>
      </text>
    </comment>
    <comment ref="C19" authorId="1" shapeId="0" xr:uid="{00000000-0006-0000-0500-000002000000}">
      <text>
        <r>
          <rPr>
            <b/>
            <sz val="10"/>
            <color indexed="81"/>
            <rFont val="Tahoma"/>
            <family val="2"/>
          </rPr>
          <t>Kjøreforhold</t>
        </r>
        <r>
          <rPr>
            <sz val="10"/>
            <color indexed="81"/>
            <rFont val="Tahoma"/>
            <family val="2"/>
          </rPr>
          <t xml:space="preserve">
Klasse 1: Svært gode kjøreforhold
Klasse 2: Gode kjøreforhold
Klasse 3: Middels gode 
Klasse 4: Vanskelige
Klasse 5: Svært vanskelge</t>
        </r>
      </text>
    </comment>
    <comment ref="C20" authorId="1" shapeId="0" xr:uid="{00000000-0006-0000-0500-000003000000}">
      <text>
        <r>
          <rPr>
            <b/>
            <sz val="12"/>
            <color indexed="81"/>
            <rFont val="Calibri"/>
            <family val="2"/>
            <scheme val="minor"/>
          </rPr>
          <t>L = HELNINGSKLASSE</t>
        </r>
        <r>
          <rPr>
            <b/>
            <sz val="9"/>
            <color indexed="81"/>
            <rFont val="Calibri"/>
            <family val="2"/>
            <scheme val="minor"/>
          </rPr>
          <t xml:space="preserve">
</t>
        </r>
        <r>
          <rPr>
            <b/>
            <sz val="10"/>
            <color indexed="81"/>
            <rFont val="Calibri"/>
            <family val="2"/>
            <scheme val="minor"/>
          </rPr>
          <t xml:space="preserve"> 1  -</t>
        </r>
        <r>
          <rPr>
            <sz val="10"/>
            <color indexed="81"/>
            <rFont val="Calibri"/>
            <family val="2"/>
            <scheme val="minor"/>
          </rPr>
          <t xml:space="preserve">    0-10 %  -     0 - 6</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2  </t>
        </r>
        <r>
          <rPr>
            <sz val="10"/>
            <color indexed="81"/>
            <rFont val="Calibri"/>
            <family val="2"/>
            <scheme val="minor"/>
          </rPr>
          <t>-  10-20 %  -   6 - 11</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3  </t>
        </r>
        <r>
          <rPr>
            <sz val="10"/>
            <color indexed="81"/>
            <rFont val="Calibri"/>
            <family val="2"/>
            <scheme val="minor"/>
          </rPr>
          <t>-  20-33 %  - 11 - 18</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4  </t>
        </r>
        <r>
          <rPr>
            <sz val="10"/>
            <color indexed="81"/>
            <rFont val="Calibri"/>
            <family val="2"/>
            <scheme val="minor"/>
          </rPr>
          <t>-  33-50 %  - 18 - 27</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5  </t>
        </r>
        <r>
          <rPr>
            <sz val="10"/>
            <color indexed="81"/>
            <rFont val="Calibri"/>
            <family val="2"/>
            <scheme val="minor"/>
          </rPr>
          <t>-     &gt; 50 % -       &gt; 27</t>
        </r>
        <r>
          <rPr>
            <vertAlign val="superscript"/>
            <sz val="9"/>
            <color indexed="81"/>
            <rFont val="Calibri"/>
            <family val="2"/>
            <scheme val="minor"/>
          </rPr>
          <t>o</t>
        </r>
        <r>
          <rPr>
            <sz val="9"/>
            <color indexed="81"/>
            <rFont val="Tahoma"/>
            <family val="2"/>
          </rPr>
          <t xml:space="preserve">
</t>
        </r>
      </text>
    </comment>
    <comment ref="Q20" authorId="0" shapeId="0" xr:uid="{00000000-0006-0000-0500-000004000000}">
      <text>
        <r>
          <rPr>
            <b/>
            <sz val="9"/>
            <color indexed="81"/>
            <rFont val="Tahoma"/>
            <family val="2"/>
          </rPr>
          <t>Mikael:</t>
        </r>
        <r>
          <rPr>
            <sz val="9"/>
            <color indexed="81"/>
            <rFont val="Tahoma"/>
            <family val="2"/>
          </rPr>
          <t xml:space="preserve">
Dette feltet skal ikke fylles ut. Antall ryddetrær hentes fra andre faner i regnearket.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J32" authorId="0" shapeId="0" xr:uid="{00000000-0006-0000-0900-000001000000}">
      <text>
        <r>
          <rPr>
            <sz val="10"/>
            <color indexed="81"/>
            <rFont val="Tahoma"/>
            <family val="2"/>
          </rPr>
          <t>Når Y=1 og B=1 blir kjørehastighet 65,4 km/. Dette tilsvarer 8, 4 km/t
Maks kjørehastighet for lassbærer  er 7-9 km/t 
(maskinavhengig)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J32" authorId="0" shapeId="0" xr:uid="{00000000-0006-0000-0A00-000001000000}">
      <text>
        <r>
          <rPr>
            <sz val="10"/>
            <color indexed="81"/>
            <rFont val="Tahoma"/>
            <family val="2"/>
          </rPr>
          <t>Når Y=1 og B=1 blir kjørehastighet 65,4 km/. Dette tilsvarer 8, 4 km/t
Maks kjørehastighet for lassbærer  er 7-9 km/t 
(maskinavhengig)</t>
        </r>
      </text>
    </comment>
  </commentList>
</comments>
</file>

<file path=xl/sharedStrings.xml><?xml version="1.0" encoding="utf-8"?>
<sst xmlns="http://schemas.openxmlformats.org/spreadsheetml/2006/main" count="853" uniqueCount="335">
  <si>
    <t>VURDERING AV POTENSIALE FOR TYNNING</t>
  </si>
  <si>
    <t>Versjon 1.2</t>
  </si>
  <si>
    <t>Dato:</t>
  </si>
  <si>
    <t>Skogeier:</t>
  </si>
  <si>
    <t>Bjørk Bjørkesen</t>
  </si>
  <si>
    <t>Bestand/Teig:</t>
  </si>
  <si>
    <t>Hovedtreslag:</t>
  </si>
  <si>
    <r>
      <t>Tynningsareal</t>
    </r>
    <r>
      <rPr>
        <b/>
        <sz val="14"/>
        <color theme="1" tint="0.249977111117893"/>
        <rFont val="Calibri"/>
        <family val="2"/>
        <scheme val="minor"/>
      </rPr>
      <t>:</t>
    </r>
  </si>
  <si>
    <t>dekar</t>
  </si>
  <si>
    <t>Gran</t>
  </si>
  <si>
    <t>Bonitet:</t>
  </si>
  <si>
    <t>Bestands-registrering nr</t>
  </si>
  <si>
    <t>Grunnflatesum
m2/ ha</t>
  </si>
  <si>
    <r>
      <t>Treantall</t>
    </r>
    <r>
      <rPr>
        <b/>
        <sz val="10"/>
        <color rgb="FF7030A0"/>
        <rFont val="Calibri"/>
        <family val="2"/>
        <scheme val="minor"/>
      </rPr>
      <t xml:space="preserve">          </t>
    </r>
    <r>
      <rPr>
        <b/>
        <u/>
        <sz val="10"/>
        <color rgb="FF7030A0"/>
        <rFont val="Calibri"/>
        <family val="2"/>
        <scheme val="minor"/>
      </rPr>
      <t>over 8 cm i b.h.                                                                            
pr daa</t>
    </r>
  </si>
  <si>
    <t>Ant ryddetrær max 8 cm i b.h. pr daa</t>
  </si>
  <si>
    <r>
      <t>Overhøyde           (H</t>
    </r>
    <r>
      <rPr>
        <b/>
        <vertAlign val="subscript"/>
        <sz val="10"/>
        <color theme="1" tint="0.249977111117893"/>
        <rFont val="Calibri"/>
        <family val="2"/>
        <scheme val="minor"/>
      </rPr>
      <t>0</t>
    </r>
    <r>
      <rPr>
        <b/>
        <sz val="10"/>
        <color theme="1" tint="0.249977111117893"/>
        <rFont val="Calibri"/>
        <family val="2"/>
        <scheme val="minor"/>
      </rPr>
      <t>)
meter</t>
    </r>
  </si>
  <si>
    <r>
      <t>Middelhøyde
(2 m under H</t>
    </r>
    <r>
      <rPr>
        <b/>
        <vertAlign val="subscript"/>
        <sz val="10"/>
        <color theme="0" tint="-0.14999847407452621"/>
        <rFont val="Calibri"/>
        <family val="2"/>
        <scheme val="minor"/>
      </rPr>
      <t>0</t>
    </r>
    <r>
      <rPr>
        <b/>
        <sz val="10"/>
        <color theme="0" tint="-0.14999847407452621"/>
        <rFont val="Calibri"/>
        <family val="2"/>
        <scheme val="minor"/>
      </rPr>
      <t>)
meter</t>
    </r>
  </si>
  <si>
    <t>Gjennom-                                                  snitt</t>
  </si>
  <si>
    <t>Grunnflatesum etter tynning:</t>
  </si>
  <si>
    <t>m² pr. ha (jfr diagram til høyre)</t>
  </si>
  <si>
    <t>Antall ryddetrærne som blir opparbeidet (lages tømmer av):</t>
  </si>
  <si>
    <t>trær</t>
  </si>
  <si>
    <t>FORKLARING PÅ "TYNNINGSMAL"</t>
  </si>
  <si>
    <t>Tynningsstyrke:</t>
  </si>
  <si>
    <r>
      <t xml:space="preserve">av grunnflaten </t>
    </r>
    <r>
      <rPr>
        <b/>
        <sz val="14"/>
        <color theme="1" tint="0.249977111117893"/>
        <rFont val="Calibri"/>
        <family val="2"/>
        <scheme val="minor"/>
      </rPr>
      <t>(NB: max 35 %)</t>
    </r>
  </si>
  <si>
    <t xml:space="preserve">Figuren gir anbefalt nedre grense for grunnflatesum for henholdsvis gran og furu.                                                        </t>
  </si>
  <si>
    <r>
      <t>Stående volum pr dekar før tynning, ca</t>
    </r>
    <r>
      <rPr>
        <b/>
        <sz val="14"/>
        <color theme="1" tint="0.249977111117893"/>
        <rFont val="Calibri"/>
        <family val="2"/>
        <scheme val="minor"/>
      </rPr>
      <t>:</t>
    </r>
  </si>
  <si>
    <r>
      <t>m</t>
    </r>
    <r>
      <rPr>
        <vertAlign val="superscript"/>
        <sz val="14"/>
        <color theme="1" tint="0.249977111117893"/>
        <rFont val="Calibri"/>
        <family val="2"/>
        <scheme val="minor"/>
      </rPr>
      <t>3</t>
    </r>
    <r>
      <rPr>
        <sz val="14"/>
        <color theme="1" tint="0.249977111117893"/>
        <rFont val="Calibri"/>
        <family val="2"/>
        <scheme val="minor"/>
      </rPr>
      <t xml:space="preserve"> </t>
    </r>
    <r>
      <rPr>
        <b/>
        <sz val="14"/>
        <color theme="1" tint="0.249977111117893"/>
        <rFont val="Calibri"/>
        <family val="2"/>
        <scheme val="minor"/>
      </rPr>
      <t>med</t>
    </r>
    <r>
      <rPr>
        <sz val="14"/>
        <color theme="1" tint="0.249977111117893"/>
        <rFont val="Calibri"/>
        <family val="2"/>
        <scheme val="minor"/>
      </rPr>
      <t xml:space="preserve"> topp og bark pr. daa</t>
    </r>
  </si>
  <si>
    <r>
      <rPr>
        <sz val="13"/>
        <color rgb="FFFF0000"/>
        <rFont val="Calibri"/>
        <family val="2"/>
        <scheme val="minor"/>
      </rPr>
      <t>RØDT PUNKT</t>
    </r>
    <r>
      <rPr>
        <sz val="13"/>
        <color theme="1" tint="0.249977111117893"/>
        <rFont val="Calibri"/>
        <family val="2"/>
        <scheme val="minor"/>
      </rPr>
      <t xml:space="preserve"> viser grunnflatesummen før tynning.                                                                                                 </t>
    </r>
    <r>
      <rPr>
        <sz val="13"/>
        <color rgb="FFFFFF00"/>
        <rFont val="Calibri"/>
        <family val="2"/>
        <scheme val="minor"/>
      </rPr>
      <t xml:space="preserve"> GULT PUNKT</t>
    </r>
    <r>
      <rPr>
        <sz val="13"/>
        <color theme="1" tint="0.249977111117893"/>
        <rFont val="Calibri"/>
        <family val="2"/>
        <scheme val="minor"/>
      </rPr>
      <t xml:space="preserve"> viser hvor i "bandet" vi vil havne med valgt tynningsstyrke.                                                                                                                                                                                                                                               </t>
    </r>
  </si>
  <si>
    <t>Nyttbart uttaksvolum, uten topp og bark, ca:</t>
  </si>
  <si>
    <r>
      <t>m</t>
    </r>
    <r>
      <rPr>
        <vertAlign val="superscript"/>
        <sz val="14"/>
        <color theme="1" tint="0.249977111117893"/>
        <rFont val="Calibri"/>
        <family val="2"/>
        <scheme val="minor"/>
      </rPr>
      <t>3</t>
    </r>
    <r>
      <rPr>
        <sz val="14"/>
        <color theme="1" tint="0.249977111117893"/>
        <rFont val="Calibri"/>
        <family val="2"/>
        <scheme val="minor"/>
      </rPr>
      <t xml:space="preserve"> u.b. pr. daa </t>
    </r>
    <r>
      <rPr>
        <sz val="12"/>
        <color theme="1" tint="0.249977111117893"/>
        <rFont val="Calibri"/>
        <family val="2"/>
        <scheme val="minor"/>
      </rPr>
      <t>(20 % red.for topp og bark)</t>
    </r>
  </si>
  <si>
    <r>
      <t xml:space="preserve">Tot. nyttb. uttaksvolum for </t>
    </r>
    <r>
      <rPr>
        <b/>
        <sz val="12"/>
        <color theme="1" tint="0.249977111117893"/>
        <rFont val="Calibri"/>
        <family val="2"/>
        <scheme val="minor"/>
      </rPr>
      <t>hele</t>
    </r>
    <r>
      <rPr>
        <sz val="12"/>
        <color theme="1" tint="0.249977111117893"/>
        <rFont val="Calibri"/>
        <family val="2"/>
        <scheme val="minor"/>
      </rPr>
      <t xml:space="preserve"> bestandet, ca:</t>
    </r>
  </si>
  <si>
    <r>
      <t>m</t>
    </r>
    <r>
      <rPr>
        <vertAlign val="superscript"/>
        <sz val="14"/>
        <color theme="1" tint="0.249977111117893"/>
        <rFont val="Calibri"/>
        <family val="2"/>
        <scheme val="minor"/>
      </rPr>
      <t>3</t>
    </r>
    <r>
      <rPr>
        <sz val="14"/>
        <color theme="1" tint="0.249977111117893"/>
        <rFont val="Calibri"/>
        <family val="2"/>
        <scheme val="minor"/>
      </rPr>
      <t xml:space="preserve"> u.b.</t>
    </r>
  </si>
  <si>
    <r>
      <t xml:space="preserve">Dersom grunnflatesum på angitte bonitet ligger </t>
    </r>
    <r>
      <rPr>
        <b/>
        <sz val="13"/>
        <color theme="1" tint="0.249977111117893"/>
        <rFont val="Calibri"/>
        <family val="2"/>
        <scheme val="minor"/>
      </rPr>
      <t>over</t>
    </r>
    <r>
      <rPr>
        <sz val="13"/>
        <color theme="1" tint="0.249977111117893"/>
        <rFont val="Calibri"/>
        <family val="2"/>
        <scheme val="minor"/>
      </rPr>
      <t xml:space="preserve"> bandet har bestandet et gitt tynningspotensial. Dersom grunnflatesummen ligger</t>
    </r>
    <r>
      <rPr>
        <b/>
        <sz val="13"/>
        <color theme="1" tint="0.249977111117893"/>
        <rFont val="Calibri"/>
        <family val="2"/>
        <scheme val="minor"/>
      </rPr>
      <t xml:space="preserve"> lavere</t>
    </r>
    <r>
      <rPr>
        <sz val="13"/>
        <color theme="1" tint="0.249977111117893"/>
        <rFont val="Calibri"/>
        <family val="2"/>
        <scheme val="minor"/>
      </rPr>
      <t xml:space="preserve">, er det en anbefaling om å vente til tynningspotensialet blir større. </t>
    </r>
  </si>
  <si>
    <t>Gjenstående treantall inkl. stikkveg:</t>
  </si>
  <si>
    <t>trær pr daa</t>
  </si>
  <si>
    <t>Middeltre i uttak, ca:</t>
  </si>
  <si>
    <r>
      <t>m</t>
    </r>
    <r>
      <rPr>
        <vertAlign val="superscript"/>
        <sz val="14"/>
        <color theme="1" tint="0.249977111117893"/>
        <rFont val="Calibri"/>
        <family val="2"/>
        <scheme val="minor"/>
      </rPr>
      <t>3</t>
    </r>
    <r>
      <rPr>
        <sz val="14"/>
        <color theme="1" tint="0.249977111117893"/>
        <rFont val="Calibri"/>
        <family val="2"/>
        <scheme val="minor"/>
      </rPr>
      <t xml:space="preserve"> nyttbart volum </t>
    </r>
    <r>
      <rPr>
        <b/>
        <sz val="14"/>
        <color theme="1" tint="0.249977111117893"/>
        <rFont val="Calibri"/>
        <family val="2"/>
        <scheme val="minor"/>
      </rPr>
      <t>uten</t>
    </r>
    <r>
      <rPr>
        <sz val="14"/>
        <color theme="1" tint="0.249977111117893"/>
        <rFont val="Calibri"/>
        <family val="2"/>
        <scheme val="minor"/>
      </rPr>
      <t xml:space="preserve"> bark</t>
    </r>
  </si>
  <si>
    <r>
      <t>trær pr. m</t>
    </r>
    <r>
      <rPr>
        <vertAlign val="superscript"/>
        <sz val="14"/>
        <color theme="1" tint="0.249977111117893"/>
        <rFont val="Calibri"/>
        <family val="2"/>
        <scheme val="minor"/>
      </rPr>
      <t>3</t>
    </r>
    <r>
      <rPr>
        <sz val="14"/>
        <color theme="1" tint="0.249977111117893"/>
        <rFont val="Calibri"/>
        <family val="2"/>
        <scheme val="minor"/>
      </rPr>
      <t xml:space="preserve"> nyttbart volum </t>
    </r>
    <r>
      <rPr>
        <b/>
        <sz val="14"/>
        <color theme="1" tint="0.249977111117893"/>
        <rFont val="Calibri"/>
        <family val="2"/>
        <scheme val="minor"/>
      </rPr>
      <t>uten</t>
    </r>
    <r>
      <rPr>
        <sz val="14"/>
        <color theme="1" tint="0.249977111117893"/>
        <rFont val="Calibri"/>
        <family val="2"/>
        <scheme val="minor"/>
      </rPr>
      <t xml:space="preserve"> bark</t>
    </r>
  </si>
  <si>
    <r>
      <t xml:space="preserve">Vi ønsker å gjøre denne kalkulatoren bedre. Har du kommentarer; - send dem til </t>
    </r>
    <r>
      <rPr>
        <b/>
        <i/>
        <sz val="11"/>
        <color theme="0"/>
        <rFont val="Inhereit"/>
      </rPr>
      <t>post@skogkurs.no.</t>
    </r>
  </si>
  <si>
    <t>Del denne siden:</t>
  </si>
  <si>
    <r>
      <t xml:space="preserve">Dette regneverktøyet har blitt til gjennom prosjektet </t>
    </r>
    <r>
      <rPr>
        <b/>
        <i/>
        <sz val="11"/>
        <color theme="1"/>
        <rFont val="Inher"/>
      </rPr>
      <t>Tiltak i tett eller forsømt skog</t>
    </r>
    <r>
      <rPr>
        <sz val="11"/>
        <color theme="1"/>
        <rFont val="Inher"/>
      </rPr>
      <t>. Prosjektet er                                                                                                             gjennomført i regi av Skogkurs. Samarbeidspartnerne har vært Norskog, NIBIO, Viken Skog SA,                                                                                                    Mjøsen Skog SA og Fylkesmannen i Oppland og Hedmark.</t>
    </r>
  </si>
  <si>
    <t>© Skogkurs 2017</t>
  </si>
  <si>
    <r>
      <t>Grunnflate-sum
m</t>
    </r>
    <r>
      <rPr>
        <b/>
        <vertAlign val="superscript"/>
        <sz val="10"/>
        <color theme="1" tint="0.249977111117893"/>
        <rFont val="Calibri"/>
        <family val="2"/>
        <scheme val="minor"/>
      </rPr>
      <t>2</t>
    </r>
    <r>
      <rPr>
        <b/>
        <sz val="10"/>
        <color theme="1" tint="0.249977111117893"/>
        <rFont val="Calibri"/>
        <family val="2"/>
        <scheme val="minor"/>
      </rPr>
      <t>/ haa</t>
    </r>
  </si>
  <si>
    <t xml:space="preserve">Treantall 
pr daa
</t>
  </si>
  <si>
    <t>Ant ryddetrær max 8 cm i brysth, pr daa</t>
  </si>
  <si>
    <t>Gjennomsn.-
verdier</t>
  </si>
  <si>
    <r>
      <t>m</t>
    </r>
    <r>
      <rPr>
        <vertAlign val="superscript"/>
        <sz val="12"/>
        <color theme="1" tint="0.249977111117893"/>
        <rFont val="Calibri"/>
        <family val="2"/>
        <scheme val="minor"/>
      </rPr>
      <t>²</t>
    </r>
    <r>
      <rPr>
        <vertAlign val="superscript"/>
        <sz val="14"/>
        <color theme="1" tint="0.249977111117893"/>
        <rFont val="Calibri"/>
        <family val="2"/>
        <scheme val="minor"/>
      </rPr>
      <t xml:space="preserve"> </t>
    </r>
    <r>
      <rPr>
        <sz val="14"/>
        <color theme="1" tint="0.249977111117893"/>
        <rFont val="Calibri"/>
        <family val="2"/>
        <scheme val="minor"/>
      </rPr>
      <t>pr. haa (jfr diagram til høyre)</t>
    </r>
  </si>
  <si>
    <r>
      <t>m</t>
    </r>
    <r>
      <rPr>
        <vertAlign val="superscript"/>
        <sz val="14"/>
        <color theme="1" tint="0.249977111117893"/>
        <rFont val="Calibri"/>
        <family val="2"/>
        <scheme val="minor"/>
      </rPr>
      <t>3</t>
    </r>
    <r>
      <rPr>
        <sz val="14"/>
        <color theme="1" tint="0.249977111117893"/>
        <rFont val="Calibri"/>
        <family val="2"/>
        <scheme val="minor"/>
      </rPr>
      <t xml:space="preserve"> med topp og bark pr. daa</t>
    </r>
  </si>
  <si>
    <t>Nyttbart uttaksvolum ,uten topp og bark, ca:</t>
  </si>
  <si>
    <r>
      <t xml:space="preserve">BEREGNEDE DRIFTSKOSTNADER - </t>
    </r>
    <r>
      <rPr>
        <b/>
        <sz val="28"/>
        <color rgb="FFFF0000"/>
        <rFont val="Calibri"/>
        <family val="2"/>
        <scheme val="minor"/>
      </rPr>
      <t>Uten forhåndsrydding</t>
    </r>
  </si>
  <si>
    <t>ALTERNATIVE TALL -                                        INGEN OPPARBEIDING AV RYDDETRÆR</t>
  </si>
  <si>
    <t>- STIPULERT PÅ GRUNNLAG AV BESTANDREGISTRERINGENE, TYNNINGSUTTAK, MASKINKOSTNAD OG FORVENTET PRODUKTIVITET</t>
  </si>
  <si>
    <t>Planlegging</t>
  </si>
  <si>
    <t xml:space="preserve">kr/m³ </t>
  </si>
  <si>
    <t>Flytting og oppstart (rigg og drift)</t>
  </si>
  <si>
    <t>Hogstmaskinkostnad (basert på svenske og norske produksjonsnormer)</t>
  </si>
  <si>
    <t>Andel av ryddetrærne som opparbeides:</t>
  </si>
  <si>
    <r>
      <t xml:space="preserve">Hogstmaskinkostnad - fjerning </t>
    </r>
    <r>
      <rPr>
        <b/>
        <sz val="16"/>
        <color theme="1" tint="0.14999847407452621"/>
        <rFont val="Calibri"/>
        <family val="2"/>
        <scheme val="minor"/>
      </rPr>
      <t>(ikke opparbeiding)</t>
    </r>
    <r>
      <rPr>
        <sz val="16"/>
        <color theme="1" tint="0.14999847407452621"/>
        <rFont val="Calibri"/>
        <family val="2"/>
        <scheme val="minor"/>
      </rPr>
      <t xml:space="preserve"> av ryddetærne</t>
    </r>
  </si>
  <si>
    <t>Lassbærerkostnad (basert på svenske produksjonsnormer)</t>
  </si>
  <si>
    <t>Sum ordinære driftskostnader</t>
  </si>
  <si>
    <t>HVA KOSTER RYDDETRÆRNE?</t>
  </si>
  <si>
    <r>
      <rPr>
        <i/>
        <sz val="16"/>
        <color theme="1" tint="0.249977111117893"/>
        <rFont val="Calibri"/>
        <family val="2"/>
        <scheme val="minor"/>
      </rPr>
      <t xml:space="preserve">Ryddetrær er trær som ikke har blitt fjernet i ungskogpleien, eller kan ha vokst opp senere. Uansett har de en kostnad nå ved tynningen eller ved den senere hovedhogsten. Skal vi tynne, må de fjernes nå. Det kan skje ved at                                                                                                                                                                                                  *  de skjæres ned eller dras opp med hogstmaskinaggregatet                                                                                                                                                                                                    *  noen av dem kan opparbeides til tømmer                                                                                                                                                                                                                                                                             *  feltet kan forhåndsryddes (dekkes med skogfond v/ 1. gangs tynning)               </t>
    </r>
    <r>
      <rPr>
        <sz val="16"/>
        <color theme="1" tint="0.249977111117893"/>
        <rFont val="Calibri"/>
        <family val="2"/>
        <scheme val="minor"/>
      </rPr>
      <t xml:space="preserve">                       </t>
    </r>
  </si>
  <si>
    <r>
      <t>Dette</t>
    </r>
    <r>
      <rPr>
        <b/>
        <sz val="20"/>
        <color rgb="FFFF0000"/>
        <rFont val="Calibri"/>
        <family val="2"/>
        <scheme val="minor"/>
      </rPr>
      <t xml:space="preserve"> kan du investere i forhåndsrydding</t>
    </r>
    <r>
      <rPr>
        <b/>
        <sz val="20"/>
        <color theme="1" tint="0.14999847407452621"/>
        <rFont val="Calibri"/>
        <family val="2"/>
        <scheme val="minor"/>
      </rPr>
      <t xml:space="preserve"> i stedet for å bruke skogsmaskinene til rydding og eventuell opparbeiding: </t>
    </r>
  </si>
  <si>
    <r>
      <t>Figuren ovenfor viser tidsbruk (G</t>
    </r>
    <r>
      <rPr>
        <sz val="10"/>
        <color theme="1"/>
        <rFont val="Calibri"/>
        <family val="2"/>
        <scheme val="minor"/>
      </rPr>
      <t>0</t>
    </r>
    <r>
      <rPr>
        <sz val="16"/>
        <color theme="1"/>
        <rFont val="Calibri"/>
        <family val="2"/>
        <scheme val="minor"/>
      </rPr>
      <t xml:space="preserve">-timer) per tre i forhold til trestørrelse og stammevolum.                                                                                                                                                                                                         Figuren er basert på modellert tidsbruk per tre </t>
    </r>
    <r>
      <rPr>
        <i/>
        <sz val="16"/>
        <color rgb="FF0000A0"/>
        <rFont val="Calibri"/>
        <family val="2"/>
        <scheme val="minor"/>
      </rPr>
      <t>(</t>
    </r>
    <r>
      <rPr>
        <b/>
        <i/>
        <u/>
        <sz val="16"/>
        <color rgb="FF0000A0"/>
        <rFont val="Calibri"/>
        <family val="2"/>
        <scheme val="minor"/>
      </rPr>
      <t>se prosjektrapport</t>
    </r>
    <r>
      <rPr>
        <i/>
        <sz val="16"/>
        <color rgb="FF0000A0"/>
        <rFont val="Calibri"/>
        <family val="2"/>
        <scheme val="minor"/>
      </rPr>
      <t>)</t>
    </r>
    <r>
      <rPr>
        <sz val="16"/>
        <color theme="1"/>
        <rFont val="Calibri"/>
        <family val="2"/>
        <scheme val="minor"/>
      </rPr>
      <t xml:space="preserve">.                                                                                                                                                                                                                                                                                                                                                                                   </t>
    </r>
  </si>
  <si>
    <t xml:space="preserve">Skogeiers marginalskattesats: </t>
  </si>
  <si>
    <t xml:space="preserve"> %</t>
  </si>
  <si>
    <r>
      <t xml:space="preserve">Kostnad med fjerning med hogstmaskin de av ryddetrær </t>
    </r>
    <r>
      <rPr>
        <b/>
        <sz val="17.5"/>
        <color theme="1" tint="0.14999847407452621"/>
        <rFont val="Calibri"/>
        <family val="2"/>
        <scheme val="minor"/>
      </rPr>
      <t xml:space="preserve">som ikke blir opparbeidet </t>
    </r>
    <r>
      <rPr>
        <sz val="17.5"/>
        <color theme="1" tint="0.14999847407452621"/>
        <rFont val="Calibri"/>
        <family val="2"/>
        <scheme val="minor"/>
      </rPr>
      <t>til tømmer:</t>
    </r>
  </si>
  <si>
    <t>kr/dekar</t>
  </si>
  <si>
    <r>
      <t>Kostnad med å eventuelt opparbeide de største ryddetrærne</t>
    </r>
    <r>
      <rPr>
        <b/>
        <sz val="17.5"/>
        <color theme="1" tint="0.14999847407452621"/>
        <rFont val="Calibri"/>
        <family val="2"/>
        <scheme val="minor"/>
      </rPr>
      <t xml:space="preserve"> </t>
    </r>
    <r>
      <rPr>
        <sz val="17.5"/>
        <color theme="1" tint="0.14999847407452621"/>
        <rFont val="Calibri"/>
        <family val="2"/>
        <scheme val="minor"/>
      </rPr>
      <t>til tømmer:</t>
    </r>
  </si>
  <si>
    <r>
      <t>Opparbeiding av ryddetrær med 7,5 cm i brysthøyde:                                                                                                                                                               &gt;            ==&gt; 0,4 G</t>
    </r>
    <r>
      <rPr>
        <sz val="10"/>
        <color theme="1"/>
        <rFont val="Calibri"/>
        <family val="2"/>
        <scheme val="minor"/>
      </rPr>
      <t>0</t>
    </r>
    <r>
      <rPr>
        <sz val="16"/>
        <color theme="1"/>
        <rFont val="Calibri"/>
        <family val="2"/>
        <scheme val="minor"/>
      </rPr>
      <t>-timer per m³                                                                                                                                                                                            &gt;            omregnet til G</t>
    </r>
    <r>
      <rPr>
        <sz val="10"/>
        <color theme="1"/>
        <rFont val="Calibri"/>
        <family val="2"/>
        <scheme val="minor"/>
      </rPr>
      <t>15</t>
    </r>
    <r>
      <rPr>
        <sz val="16"/>
        <color theme="1"/>
        <rFont val="Calibri"/>
        <family val="2"/>
        <scheme val="minor"/>
      </rPr>
      <t>-timer = 600 kr per m³</t>
    </r>
  </si>
  <si>
    <r>
      <rPr>
        <b/>
        <sz val="17.5"/>
        <color theme="1" tint="0.14999847407452621"/>
        <rFont val="Calibri"/>
        <family val="2"/>
        <scheme val="minor"/>
      </rPr>
      <t>Inntekt</t>
    </r>
    <r>
      <rPr>
        <sz val="17.5"/>
        <color theme="1" tint="0.14999847407452621"/>
        <rFont val="Calibri"/>
        <family val="2"/>
        <scheme val="minor"/>
      </rPr>
      <t xml:space="preserve"> på mervolum av opparbeidede ryddetrær:     </t>
    </r>
  </si>
  <si>
    <t>Massevirkepris kr/m³</t>
  </si>
  <si>
    <r>
      <rPr>
        <b/>
        <sz val="24"/>
        <color theme="1" tint="0.14999847407452621"/>
        <rFont val="Calibri"/>
        <family val="2"/>
        <scheme val="minor"/>
      </rPr>
      <t>Dette kan du investere i forhåndsrydding:</t>
    </r>
    <r>
      <rPr>
        <sz val="18"/>
        <color theme="1" tint="0.14999847407452621"/>
        <rFont val="Calibri"/>
        <family val="2"/>
        <scheme val="minor"/>
      </rPr>
      <t xml:space="preserve">                                                                                          </t>
    </r>
    <r>
      <rPr>
        <i/>
        <sz val="18"/>
        <color theme="1" tint="0.14999847407452621"/>
        <rFont val="Calibri"/>
        <family val="2"/>
        <scheme val="minor"/>
      </rPr>
      <t xml:space="preserve"> (forutsatt skogfond m/ skattefordel og din marginalskatt)</t>
    </r>
  </si>
  <si>
    <r>
      <t xml:space="preserve">HOGSTMASKIN </t>
    </r>
    <r>
      <rPr>
        <b/>
        <i/>
        <sz val="20"/>
        <color theme="3"/>
        <rFont val="Calibri"/>
        <family val="2"/>
        <scheme val="minor"/>
      </rPr>
      <t>svært forenklet kalkyle</t>
    </r>
  </si>
  <si>
    <r>
      <t xml:space="preserve">LASSBÆRER </t>
    </r>
    <r>
      <rPr>
        <b/>
        <i/>
        <sz val="20"/>
        <color theme="3"/>
        <rFont val="Calibri"/>
        <family val="2"/>
        <scheme val="minor"/>
      </rPr>
      <t>svært forenklet kalkyle</t>
    </r>
  </si>
  <si>
    <t>TOTAL FREMDRIFT MOT MÅLET:</t>
  </si>
  <si>
    <t>STARTDATO</t>
  </si>
  <si>
    <t>ANTALL M³</t>
  </si>
  <si>
    <t>TIMER PR SKIFT</t>
  </si>
  <si>
    <t>SKIFT PR DAG</t>
  </si>
  <si>
    <t>Prestasjon</t>
  </si>
  <si>
    <t>Måler</t>
  </si>
  <si>
    <t>Start</t>
  </si>
  <si>
    <t>Verdi</t>
  </si>
  <si>
    <t>FORVENTET SLUTTDATO</t>
  </si>
  <si>
    <t>ANTALL DAGSVERK</t>
  </si>
  <si>
    <t>ANTALL SKIFT</t>
  </si>
  <si>
    <t>Rød</t>
  </si>
  <si>
    <t>Nål</t>
  </si>
  <si>
    <t>Gul</t>
  </si>
  <si>
    <t>Slutt</t>
  </si>
  <si>
    <t>Grønn</t>
  </si>
  <si>
    <t>NB: FLYTTE- OG OPPSTARTSTID KOMMER I TILLEGG!</t>
  </si>
  <si>
    <t>MASKINKOSTNAD</t>
  </si>
  <si>
    <r>
      <t>PR G</t>
    </r>
    <r>
      <rPr>
        <b/>
        <vertAlign val="subscript"/>
        <sz val="12"/>
        <color theme="1" tint="0.249977111117893"/>
        <rFont val="Calibri"/>
        <family val="2"/>
        <scheme val="minor"/>
      </rPr>
      <t>0</t>
    </r>
    <r>
      <rPr>
        <sz val="12"/>
        <color theme="1" tint="0.249977111117893"/>
        <rFont val="Calibri"/>
        <family val="2"/>
        <scheme val="minor"/>
      </rPr>
      <t>-TIME</t>
    </r>
  </si>
  <si>
    <r>
      <t>PR G</t>
    </r>
    <r>
      <rPr>
        <b/>
        <vertAlign val="subscript"/>
        <sz val="12"/>
        <color theme="1" tint="0.249977111117893"/>
        <rFont val="Calibri"/>
        <family val="2"/>
        <scheme val="minor"/>
      </rPr>
      <t>15</t>
    </r>
    <r>
      <rPr>
        <b/>
        <sz val="12"/>
        <color theme="1" tint="0.249977111117893"/>
        <rFont val="Calibri"/>
        <family val="2"/>
        <scheme val="minor"/>
      </rPr>
      <t>-</t>
    </r>
    <r>
      <rPr>
        <sz val="12"/>
        <color theme="1" tint="0.249977111117893"/>
        <rFont val="Calibri"/>
        <family val="2"/>
        <scheme val="minor"/>
      </rPr>
      <t>TIME</t>
    </r>
  </si>
  <si>
    <r>
      <t>KOSTNAD PR M</t>
    </r>
    <r>
      <rPr>
        <vertAlign val="superscript"/>
        <sz val="12"/>
        <color theme="1" tint="0.249977111117893"/>
        <rFont val="Calibri"/>
        <family val="2"/>
        <scheme val="minor"/>
      </rPr>
      <t>3</t>
    </r>
  </si>
  <si>
    <t>KR PR TIME</t>
  </si>
  <si>
    <t>NB: OPPSTART- OG FLYTTEKOSTNADER KOMMER I TILLEGG!</t>
  </si>
  <si>
    <t>HOGSTMASKIN</t>
  </si>
  <si>
    <t>LASSBÆRER</t>
  </si>
  <si>
    <t>PRODUKSJONSNORMER PR FOR HOGSTMASKIN</t>
  </si>
  <si>
    <r>
      <rPr>
        <b/>
        <sz val="18"/>
        <color theme="1"/>
        <rFont val="Calibri"/>
        <family val="2"/>
        <scheme val="minor"/>
      </rPr>
      <t>T</t>
    </r>
    <r>
      <rPr>
        <b/>
        <sz val="12"/>
        <color theme="1"/>
        <rFont val="Calibri"/>
        <family val="2"/>
        <scheme val="minor"/>
      </rPr>
      <t>1</t>
    </r>
  </si>
  <si>
    <r>
      <t>Forflytning</t>
    </r>
    <r>
      <rPr>
        <b/>
        <i/>
        <sz val="14"/>
        <color theme="1"/>
        <rFont val="Calibri"/>
        <family val="2"/>
        <scheme val="minor"/>
      </rPr>
      <t xml:space="preserve"> (kjøring mellom trær)</t>
    </r>
  </si>
  <si>
    <r>
      <t>T</t>
    </r>
    <r>
      <rPr>
        <b/>
        <sz val="12"/>
        <color theme="1"/>
        <rFont val="Calibri"/>
        <family val="2"/>
        <scheme val="minor"/>
      </rPr>
      <t>2</t>
    </r>
  </si>
  <si>
    <t>Felling og opparbeiding</t>
  </si>
  <si>
    <r>
      <t>T</t>
    </r>
    <r>
      <rPr>
        <b/>
        <sz val="12"/>
        <color theme="1"/>
        <rFont val="Calibri"/>
        <family val="2"/>
        <scheme val="minor"/>
      </rPr>
      <t>R1</t>
    </r>
  </si>
  <si>
    <t>Ryddetrær</t>
  </si>
  <si>
    <r>
      <t>G</t>
    </r>
    <r>
      <rPr>
        <b/>
        <sz val="8"/>
        <color rgb="FFFF0000"/>
        <rFont val="Calibri"/>
        <family val="2"/>
        <scheme val="minor"/>
      </rPr>
      <t>0</t>
    </r>
    <r>
      <rPr>
        <b/>
        <sz val="13"/>
        <color rgb="FFFF0000"/>
        <rFont val="Calibri"/>
        <family val="2"/>
        <scheme val="minor"/>
      </rPr>
      <t>-cmin/tre</t>
    </r>
  </si>
  <si>
    <t>(Alternativ 1)</t>
  </si>
  <si>
    <r>
      <t xml:space="preserve">"Grunntid" </t>
    </r>
    <r>
      <rPr>
        <i/>
        <sz val="11"/>
        <color theme="1"/>
        <rFont val="Calibri"/>
        <family val="2"/>
        <scheme val="minor"/>
      </rPr>
      <t>(ligger fast)</t>
    </r>
  </si>
  <si>
    <t>KORRIGERT</t>
  </si>
  <si>
    <r>
      <rPr>
        <b/>
        <sz val="11"/>
        <color theme="1"/>
        <rFont val="Calibri"/>
        <family val="2"/>
        <scheme val="minor"/>
      </rPr>
      <t xml:space="preserve">Formelen kan deles opp, slik at vi først beregner </t>
    </r>
    <r>
      <rPr>
        <b/>
        <sz val="11"/>
        <color theme="1"/>
        <rFont val="Cambria"/>
        <family val="1"/>
        <scheme val="major"/>
      </rPr>
      <t>H</t>
    </r>
    <r>
      <rPr>
        <b/>
        <sz val="11"/>
        <color theme="1"/>
        <rFont val="Calibri"/>
        <family val="2"/>
        <scheme val="minor"/>
      </rPr>
      <t>:</t>
    </r>
  </si>
  <si>
    <r>
      <t xml:space="preserve">"Økningsfaktor" </t>
    </r>
    <r>
      <rPr>
        <i/>
        <sz val="11"/>
        <color theme="1"/>
        <rFont val="Calibri"/>
        <family val="2"/>
        <scheme val="minor"/>
      </rPr>
      <t>(ligger fast)</t>
    </r>
  </si>
  <si>
    <t>M =</t>
  </si>
  <si>
    <t xml:space="preserve">Middelstamme </t>
  </si>
  <si>
    <t>m³/tre</t>
  </si>
  <si>
    <t>Tidsforbruk/tre</t>
  </si>
  <si>
    <r>
      <t>sek/tre (G</t>
    </r>
    <r>
      <rPr>
        <b/>
        <vertAlign val="subscript"/>
        <sz val="12"/>
        <color theme="1"/>
        <rFont val="Calibri"/>
        <family val="2"/>
        <scheme val="minor"/>
      </rPr>
      <t>0</t>
    </r>
    <r>
      <rPr>
        <b/>
        <sz val="12"/>
        <color theme="1"/>
        <rFont val="Calibri"/>
        <family val="2"/>
        <scheme val="minor"/>
      </rPr>
      <t>-timer)</t>
    </r>
  </si>
  <si>
    <t>minutter/tre</t>
  </si>
  <si>
    <r>
      <t>T</t>
    </r>
    <r>
      <rPr>
        <b/>
        <sz val="12"/>
        <color theme="1"/>
        <rFont val="Calibri"/>
        <family val="2"/>
        <scheme val="minor"/>
      </rPr>
      <t>R2</t>
    </r>
  </si>
  <si>
    <t>(Alternativ 2)</t>
  </si>
  <si>
    <r>
      <t>G</t>
    </r>
    <r>
      <rPr>
        <b/>
        <sz val="8"/>
        <color rgb="FFFF0000"/>
        <rFont val="Calibri"/>
        <family val="2"/>
        <scheme val="minor"/>
      </rPr>
      <t>0</t>
    </r>
    <r>
      <rPr>
        <b/>
        <sz val="13"/>
        <color rgb="FFFF0000"/>
        <rFont val="Calibri"/>
        <family val="2"/>
        <scheme val="minor"/>
      </rPr>
      <t>-sekund/tre</t>
    </r>
  </si>
  <si>
    <t>S =</t>
  </si>
  <si>
    <t>Strok- eller arbeidsbredde</t>
  </si>
  <si>
    <t xml:space="preserve"> m</t>
  </si>
  <si>
    <t>K =</t>
  </si>
  <si>
    <t>Uttrykk for kjørehastigheten</t>
  </si>
  <si>
    <t xml:space="preserve"> m/min</t>
  </si>
  <si>
    <r>
      <t>T</t>
    </r>
    <r>
      <rPr>
        <b/>
        <sz val="12"/>
        <color theme="1"/>
        <rFont val="Calibri"/>
        <family val="2"/>
        <scheme val="minor"/>
      </rPr>
      <t>3</t>
    </r>
  </si>
  <si>
    <t>Øvrig tid</t>
  </si>
  <si>
    <t>U =</t>
  </si>
  <si>
    <t>Uttak</t>
  </si>
  <si>
    <t xml:space="preserve"> tre/daa</t>
  </si>
  <si>
    <t>Ryddetid i sekund/ryddetre</t>
  </si>
  <si>
    <t>Y =</t>
  </si>
  <si>
    <t>Overflatestruktur</t>
  </si>
  <si>
    <t xml:space="preserve"> klasse fra tabell</t>
  </si>
  <si>
    <t>uttak, trær/daa</t>
  </si>
  <si>
    <t>tre/daa</t>
  </si>
  <si>
    <t>L =</t>
  </si>
  <si>
    <t>Helning</t>
  </si>
  <si>
    <t>D =</t>
  </si>
  <si>
    <t>ryddetrær, trær/daa</t>
  </si>
  <si>
    <t>H =</t>
  </si>
  <si>
    <t>Reell kjørehastighet</t>
  </si>
  <si>
    <t>Volum pr dekar</t>
  </si>
  <si>
    <t xml:space="preserve"> m³/daa</t>
  </si>
  <si>
    <t>Hvor mye tid</t>
  </si>
  <si>
    <t xml:space="preserve">   sekund/tre</t>
  </si>
  <si>
    <t xml:space="preserve"> m³/tre</t>
  </si>
  <si>
    <t>PRODUKSJONSNORMER PR SEPTEMBER  2016</t>
  </si>
  <si>
    <t>Tall fra beregning</t>
  </si>
  <si>
    <t>Omregningsfaktorer</t>
  </si>
  <si>
    <t>Omregnet tidsbruk</t>
  </si>
  <si>
    <t>sekund/tre</t>
  </si>
  <si>
    <t xml:space="preserve">sekund/tre </t>
  </si>
  <si>
    <t>Hogstmaskin</t>
  </si>
  <si>
    <t>Lassbærer</t>
  </si>
  <si>
    <t>G0-timer</t>
  </si>
  <si>
    <t>G15-timer</t>
  </si>
  <si>
    <t>HOGST-MASKIN</t>
  </si>
  <si>
    <r>
      <t>T</t>
    </r>
    <r>
      <rPr>
        <sz val="8"/>
        <color theme="1"/>
        <rFont val="Calibri"/>
        <family val="2"/>
        <scheme val="minor"/>
      </rPr>
      <t>1</t>
    </r>
    <r>
      <rPr>
        <sz val="11"/>
        <color theme="1"/>
        <rFont val="Calibri"/>
        <family val="2"/>
        <scheme val="minor"/>
      </rPr>
      <t xml:space="preserve">   Forflytning</t>
    </r>
  </si>
  <si>
    <r>
      <t>T</t>
    </r>
    <r>
      <rPr>
        <sz val="8"/>
        <color theme="1"/>
        <rFont val="Calibri"/>
        <family val="2"/>
        <scheme val="minor"/>
      </rPr>
      <t>2</t>
    </r>
    <r>
      <rPr>
        <sz val="11"/>
        <color theme="1"/>
        <rFont val="Calibri"/>
        <family val="2"/>
        <scheme val="minor"/>
      </rPr>
      <t xml:space="preserve">   Felling og opparbeiding</t>
    </r>
  </si>
  <si>
    <r>
      <t>Til G</t>
    </r>
    <r>
      <rPr>
        <i/>
        <sz val="8"/>
        <color theme="1"/>
        <rFont val="Calibri"/>
        <family val="2"/>
        <scheme val="minor"/>
      </rPr>
      <t>15</t>
    </r>
    <r>
      <rPr>
        <i/>
        <sz val="11"/>
        <color theme="1"/>
        <rFont val="Calibri"/>
        <family val="2"/>
        <scheme val="minor"/>
      </rPr>
      <t>-timer:</t>
    </r>
  </si>
  <si>
    <r>
      <t>T</t>
    </r>
    <r>
      <rPr>
        <sz val="8"/>
        <color theme="1"/>
        <rFont val="Calibri"/>
        <family val="2"/>
        <scheme val="minor"/>
      </rPr>
      <t>3</t>
    </r>
    <r>
      <rPr>
        <sz val="11"/>
        <color theme="1"/>
        <rFont val="Calibri"/>
        <family val="2"/>
        <scheme val="minor"/>
      </rPr>
      <t xml:space="preserve">   Øvrig tid</t>
    </r>
  </si>
  <si>
    <r>
      <t>T</t>
    </r>
    <r>
      <rPr>
        <strike/>
        <sz val="8"/>
        <color theme="1"/>
        <rFont val="Calibri"/>
        <family val="2"/>
        <scheme val="minor"/>
      </rPr>
      <t xml:space="preserve">R1 </t>
    </r>
    <r>
      <rPr>
        <strike/>
        <sz val="11"/>
        <color theme="1"/>
        <rFont val="Calibri"/>
        <family val="2"/>
        <scheme val="minor"/>
      </rPr>
      <t xml:space="preserve"> Ryddetrær    </t>
    </r>
    <r>
      <rPr>
        <strike/>
        <sz val="11"/>
        <color rgb="FFFF0000"/>
        <rFont val="Calibri"/>
        <family val="2"/>
        <scheme val="minor"/>
      </rPr>
      <t xml:space="preserve"> *)</t>
    </r>
  </si>
  <si>
    <r>
      <t>T</t>
    </r>
    <r>
      <rPr>
        <sz val="8"/>
        <color theme="1"/>
        <rFont val="Calibri"/>
        <family val="2"/>
        <scheme val="minor"/>
      </rPr>
      <t xml:space="preserve">R2  </t>
    </r>
    <r>
      <rPr>
        <sz val="11"/>
        <color theme="1"/>
        <rFont val="Calibri"/>
        <family val="2"/>
        <scheme val="minor"/>
      </rPr>
      <t xml:space="preserve">Ryddetrær     </t>
    </r>
    <r>
      <rPr>
        <sz val="11"/>
        <color rgb="FFFF0000"/>
        <rFont val="Calibri"/>
        <family val="2"/>
        <scheme val="minor"/>
      </rPr>
      <t>*)</t>
    </r>
  </si>
  <si>
    <t>*) Bare én av disse skal brukes</t>
  </si>
  <si>
    <t>SUM produksjon sekunder/tre</t>
  </si>
  <si>
    <t>SUM produksjon m³/time</t>
  </si>
  <si>
    <t xml:space="preserve">sekund/tre  </t>
  </si>
  <si>
    <r>
      <t>T</t>
    </r>
    <r>
      <rPr>
        <sz val="8"/>
        <color theme="1"/>
        <rFont val="Calibri"/>
        <family val="2"/>
        <scheme val="minor"/>
      </rPr>
      <t>4</t>
    </r>
    <r>
      <rPr>
        <sz val="11"/>
        <color theme="1"/>
        <rFont val="Calibri"/>
        <family val="2"/>
        <scheme val="minor"/>
      </rPr>
      <t xml:space="preserve">   Terminaltid</t>
    </r>
  </si>
  <si>
    <r>
      <t>T</t>
    </r>
    <r>
      <rPr>
        <sz val="8"/>
        <color theme="1"/>
        <rFont val="Calibri"/>
        <family val="2"/>
        <scheme val="minor"/>
      </rPr>
      <t>51</t>
    </r>
    <r>
      <rPr>
        <sz val="11"/>
        <color theme="1"/>
        <rFont val="Calibri"/>
        <family val="2"/>
        <scheme val="minor"/>
      </rPr>
      <t xml:space="preserve">   Kjøring i terrenget</t>
    </r>
  </si>
  <si>
    <r>
      <t>Til G</t>
    </r>
    <r>
      <rPr>
        <i/>
        <sz val="8"/>
        <color theme="1"/>
        <rFont val="Calibri"/>
        <family val="2"/>
        <scheme val="minor"/>
      </rPr>
      <t>0</t>
    </r>
    <r>
      <rPr>
        <i/>
        <sz val="11"/>
        <color theme="1"/>
        <rFont val="Calibri"/>
        <family val="2"/>
        <scheme val="minor"/>
      </rPr>
      <t>-timer:</t>
    </r>
  </si>
  <si>
    <r>
      <t>T</t>
    </r>
    <r>
      <rPr>
        <sz val="8"/>
        <color theme="1"/>
        <rFont val="Calibri"/>
        <family val="2"/>
        <scheme val="minor"/>
      </rPr>
      <t>52</t>
    </r>
    <r>
      <rPr>
        <sz val="11"/>
        <color theme="1"/>
        <rFont val="Calibri"/>
        <family val="2"/>
        <scheme val="minor"/>
      </rPr>
      <t xml:space="preserve">   Kjøring på traktor- eller driftsveg</t>
    </r>
  </si>
  <si>
    <r>
      <t>T</t>
    </r>
    <r>
      <rPr>
        <sz val="8"/>
        <color theme="1"/>
        <rFont val="Calibri"/>
        <family val="2"/>
        <scheme val="minor"/>
      </rPr>
      <t>6</t>
    </r>
    <r>
      <rPr>
        <sz val="11"/>
        <color theme="1"/>
        <rFont val="Calibri"/>
        <family val="2"/>
        <scheme val="minor"/>
      </rPr>
      <t xml:space="preserve">   Sortimenttid</t>
    </r>
  </si>
  <si>
    <r>
      <t>T</t>
    </r>
    <r>
      <rPr>
        <sz val="8"/>
        <color theme="1"/>
        <rFont val="Calibri"/>
        <family val="2"/>
        <scheme val="minor"/>
      </rPr>
      <t xml:space="preserve">7 </t>
    </r>
    <r>
      <rPr>
        <sz val="11"/>
        <color theme="1"/>
        <rFont val="Calibri"/>
        <family val="2"/>
        <scheme val="minor"/>
      </rPr>
      <t xml:space="preserve"> Sortering</t>
    </r>
  </si>
  <si>
    <r>
      <t>T</t>
    </r>
    <r>
      <rPr>
        <sz val="8"/>
        <color theme="1"/>
        <rFont val="Calibri"/>
        <family val="2"/>
        <scheme val="minor"/>
      </rPr>
      <t xml:space="preserve">8  </t>
    </r>
    <r>
      <rPr>
        <sz val="11"/>
        <color theme="1"/>
        <rFont val="Calibri"/>
        <family val="2"/>
        <scheme val="minor"/>
      </rPr>
      <t>Øvrig tid</t>
    </r>
  </si>
  <si>
    <t>PRODUKSJONSNORMER PR FOR LASSBÆRER</t>
  </si>
  <si>
    <t>T4</t>
  </si>
  <si>
    <t>Terminaltid</t>
  </si>
  <si>
    <r>
      <t>T</t>
    </r>
    <r>
      <rPr>
        <b/>
        <sz val="12"/>
        <color theme="1"/>
        <rFont val="Calibri"/>
        <family val="2"/>
        <scheme val="minor"/>
      </rPr>
      <t>51</t>
    </r>
  </si>
  <si>
    <r>
      <t>Terrengkjøring (</t>
    </r>
    <r>
      <rPr>
        <b/>
        <sz val="16"/>
        <color theme="1"/>
        <rFont val="Calibri"/>
        <family val="2"/>
        <scheme val="minor"/>
      </rPr>
      <t>utenom planert drifts- eller traktorveg)</t>
    </r>
  </si>
  <si>
    <r>
      <t>T</t>
    </r>
    <r>
      <rPr>
        <b/>
        <sz val="12"/>
        <color theme="1"/>
        <rFont val="Calibri"/>
        <family val="2"/>
        <scheme val="minor"/>
      </rPr>
      <t>6</t>
    </r>
  </si>
  <si>
    <r>
      <t xml:space="preserve">Sortimenttid </t>
    </r>
    <r>
      <rPr>
        <b/>
        <i/>
        <sz val="12"/>
        <color theme="1"/>
        <rFont val="Calibri"/>
        <family val="2"/>
        <scheme val="minor"/>
      </rPr>
      <t>(et fratrekk for store trær, med tak på 0,5 m³)</t>
    </r>
  </si>
  <si>
    <r>
      <rPr>
        <b/>
        <sz val="16"/>
        <color rgb="FFFF0000"/>
        <rFont val="Calibri"/>
        <family val="2"/>
        <scheme val="minor"/>
      </rPr>
      <t>G</t>
    </r>
    <r>
      <rPr>
        <b/>
        <sz val="11"/>
        <color rgb="FFFF0000"/>
        <rFont val="Calibri"/>
        <family val="2"/>
        <scheme val="minor"/>
      </rPr>
      <t>15</t>
    </r>
    <r>
      <rPr>
        <b/>
        <sz val="16"/>
        <color rgb="FFFF0000"/>
        <rFont val="Calibri"/>
        <family val="2"/>
        <scheme val="minor"/>
      </rPr>
      <t xml:space="preserve">-min/m³ </t>
    </r>
  </si>
  <si>
    <t>Middeltre</t>
  </si>
  <si>
    <t>Tidsforbruk pr m³</t>
  </si>
  <si>
    <r>
      <t>min/m³ (G</t>
    </r>
    <r>
      <rPr>
        <b/>
        <vertAlign val="subscript"/>
        <sz val="12"/>
        <color theme="1"/>
        <rFont val="Calibri"/>
        <family val="2"/>
        <scheme val="minor"/>
      </rPr>
      <t>15</t>
    </r>
    <r>
      <rPr>
        <b/>
        <sz val="12"/>
        <color theme="1"/>
        <rFont val="Calibri"/>
        <family val="2"/>
        <scheme val="minor"/>
      </rPr>
      <t>-timer)</t>
    </r>
  </si>
  <si>
    <t>A =</t>
  </si>
  <si>
    <t>Kjøreavstand èn vei</t>
  </si>
  <si>
    <t xml:space="preserve"> meter</t>
  </si>
  <si>
    <r>
      <t xml:space="preserve">Overflatestruktur </t>
    </r>
    <r>
      <rPr>
        <i/>
        <sz val="11"/>
        <color theme="1"/>
        <rFont val="Calibri"/>
        <family val="2"/>
        <scheme val="minor"/>
      </rPr>
      <t>(klasse)</t>
    </r>
  </si>
  <si>
    <t>(hentet fra hogstmaskin)</t>
  </si>
  <si>
    <t>Tidsforbruk, omregnet til sek/tre</t>
  </si>
  <si>
    <r>
      <t>sek/tre (G</t>
    </r>
    <r>
      <rPr>
        <b/>
        <vertAlign val="subscript"/>
        <sz val="12"/>
        <color theme="1"/>
        <rFont val="Calibri"/>
        <family val="2"/>
        <scheme val="minor"/>
      </rPr>
      <t>15</t>
    </r>
    <r>
      <rPr>
        <b/>
        <sz val="12"/>
        <color theme="1"/>
        <rFont val="Calibri"/>
        <family val="2"/>
        <scheme val="minor"/>
      </rPr>
      <t>-timer)</t>
    </r>
  </si>
  <si>
    <t>B =</t>
  </si>
  <si>
    <t>Hellingsklasse</t>
  </si>
  <si>
    <t>Kjørehastighet</t>
  </si>
  <si>
    <r>
      <t xml:space="preserve"> meter/G</t>
    </r>
    <r>
      <rPr>
        <sz val="8"/>
        <color theme="1"/>
        <rFont val="Calibri"/>
        <family val="2"/>
        <scheme val="minor"/>
      </rPr>
      <t>15</t>
    </r>
    <r>
      <rPr>
        <sz val="11"/>
        <color theme="1"/>
        <rFont val="Calibri"/>
        <family val="2"/>
        <scheme val="minor"/>
      </rPr>
      <t>-min</t>
    </r>
  </si>
  <si>
    <t>Lasstørrelse</t>
  </si>
  <si>
    <t xml:space="preserve"> m³/lass</t>
  </si>
  <si>
    <r>
      <t>T</t>
    </r>
    <r>
      <rPr>
        <b/>
        <sz val="12"/>
        <color theme="1"/>
        <rFont val="Calibri"/>
        <family val="2"/>
        <scheme val="minor"/>
      </rPr>
      <t>7</t>
    </r>
  </si>
  <si>
    <t>Sortering</t>
  </si>
  <si>
    <t xml:space="preserve">   NB: Et sortiment som utgjør mindre enn 5 % av totalen, skal bare telle 0,6. </t>
  </si>
  <si>
    <t>K1 =</t>
  </si>
  <si>
    <t>En konstant (ligger fast)</t>
  </si>
  <si>
    <t>K2 =</t>
  </si>
  <si>
    <t>Varierer med maskinstørrelsen  / hogstform</t>
  </si>
  <si>
    <t>meter/min</t>
  </si>
  <si>
    <t>U   =</t>
  </si>
  <si>
    <r>
      <t xml:space="preserve">Uttak, </t>
    </r>
    <r>
      <rPr>
        <u/>
        <sz val="11"/>
        <color theme="1"/>
        <rFont val="Calibri"/>
        <family val="2"/>
        <scheme val="minor"/>
      </rPr>
      <t>stammer</t>
    </r>
    <r>
      <rPr>
        <sz val="11"/>
        <color theme="1"/>
        <rFont val="Calibri"/>
        <family val="2"/>
        <scheme val="minor"/>
      </rPr>
      <t xml:space="preserve"> pr dekar </t>
    </r>
    <r>
      <rPr>
        <i/>
        <sz val="11"/>
        <color theme="1"/>
        <rFont val="Calibri"/>
        <family val="2"/>
        <scheme val="minor"/>
      </rPr>
      <t>(hentet fra hogstmaskinarket)</t>
    </r>
    <r>
      <rPr>
        <sz val="11"/>
        <color theme="1"/>
        <rFont val="Calibri"/>
        <family val="2"/>
        <scheme val="minor"/>
      </rPr>
      <t>:</t>
    </r>
  </si>
  <si>
    <t>Antall sortiment</t>
  </si>
  <si>
    <t>stk</t>
  </si>
  <si>
    <t>UT =</t>
  </si>
  <si>
    <r>
      <t xml:space="preserve">Uttak, </t>
    </r>
    <r>
      <rPr>
        <u/>
        <sz val="11"/>
        <color theme="1"/>
        <rFont val="Calibri"/>
        <family val="2"/>
        <scheme val="minor"/>
      </rPr>
      <t>m</t>
    </r>
    <r>
      <rPr>
        <sz val="11"/>
        <color theme="1"/>
        <rFont val="Calibri"/>
        <family val="2"/>
        <scheme val="minor"/>
      </rPr>
      <t>³ pr deker</t>
    </r>
  </si>
  <si>
    <t>m³/daa</t>
  </si>
  <si>
    <t>a</t>
  </si>
  <si>
    <t>Konstant (se ovenfor)</t>
  </si>
  <si>
    <t>b</t>
  </si>
  <si>
    <r>
      <t>T</t>
    </r>
    <r>
      <rPr>
        <b/>
        <sz val="12"/>
        <color theme="1"/>
        <rFont val="Calibri"/>
        <family val="2"/>
        <scheme val="minor"/>
      </rPr>
      <t>52</t>
    </r>
  </si>
  <si>
    <t>Kjøring på planert drifts- eller traktorveg</t>
  </si>
  <si>
    <r>
      <t>T</t>
    </r>
    <r>
      <rPr>
        <b/>
        <sz val="12"/>
        <color theme="1"/>
        <rFont val="Calibri"/>
        <family val="2"/>
        <scheme val="minor"/>
      </rPr>
      <t>8</t>
    </r>
  </si>
  <si>
    <t>HJELPETABELLER</t>
  </si>
  <si>
    <t>Y = overflatestruktur klasser</t>
  </si>
  <si>
    <t>Kjøreforhold</t>
  </si>
  <si>
    <t>L = helningsklasser</t>
  </si>
  <si>
    <t>% helning</t>
  </si>
  <si>
    <t>Øvrig tid i                          cmin</t>
  </si>
  <si>
    <t>Øvrig tid i sekund</t>
  </si>
  <si>
    <t>Vurdert</t>
  </si>
  <si>
    <t xml:space="preserve">Meget gode </t>
  </si>
  <si>
    <t>0-10 %</t>
  </si>
  <si>
    <t>Min</t>
  </si>
  <si>
    <t>Gode</t>
  </si>
  <si>
    <t>10-20 %</t>
  </si>
  <si>
    <t>Middels</t>
  </si>
  <si>
    <t xml:space="preserve">Middels gode </t>
  </si>
  <si>
    <t>20-33 %</t>
  </si>
  <si>
    <t>Max</t>
  </si>
  <si>
    <t>Dårlige</t>
  </si>
  <si>
    <t>33-50 %</t>
  </si>
  <si>
    <t>ikke definert</t>
  </si>
  <si>
    <t xml:space="preserve"> &gt; 50 %</t>
  </si>
  <si>
    <t>Tabell for overflatestruktur</t>
  </si>
  <si>
    <t>K2 = Kostant etter lassbærerstørrelse</t>
  </si>
  <si>
    <t>Maskinstør-relse</t>
  </si>
  <si>
    <r>
      <t>T</t>
    </r>
    <r>
      <rPr>
        <sz val="8"/>
        <color theme="1"/>
        <rFont val="Cambria"/>
        <family val="1"/>
      </rPr>
      <t>4</t>
    </r>
    <r>
      <rPr>
        <sz val="11"/>
        <color theme="1"/>
        <rFont val="Cambria"/>
        <family val="1"/>
      </rPr>
      <t xml:space="preserve"> variabler</t>
    </r>
  </si>
  <si>
    <t xml:space="preserve">Liten </t>
  </si>
  <si>
    <t>Foryngelseshogst</t>
  </si>
  <si>
    <t>Klasse</t>
  </si>
  <si>
    <t>Hinderhøyde</t>
  </si>
  <si>
    <t>Tynning</t>
  </si>
  <si>
    <t>H20</t>
  </si>
  <si>
    <t>10-30 cm</t>
  </si>
  <si>
    <t>Stor</t>
  </si>
  <si>
    <t>H40</t>
  </si>
  <si>
    <t>30-50 cm</t>
  </si>
  <si>
    <t>H60</t>
  </si>
  <si>
    <t>50-70 cm</t>
  </si>
  <si>
    <t>H80</t>
  </si>
  <si>
    <t>70-90 cm</t>
  </si>
  <si>
    <t>Antall hinder</t>
  </si>
  <si>
    <t>Beskrivelse</t>
  </si>
  <si>
    <t>Gj,snitt avstand</t>
  </si>
  <si>
    <t>Antall hinder /daa</t>
  </si>
  <si>
    <t>Svært få</t>
  </si>
  <si>
    <t>50 - 16 m</t>
  </si>
  <si>
    <t xml:space="preserve">0,4 - 4     </t>
  </si>
  <si>
    <t xml:space="preserve">Få </t>
  </si>
  <si>
    <t>16 - 5 m</t>
  </si>
  <si>
    <t>4 - 40</t>
  </si>
  <si>
    <t xml:space="preserve">Mange </t>
  </si>
  <si>
    <t xml:space="preserve">5 - 1,6 m </t>
  </si>
  <si>
    <t>40 - 400</t>
  </si>
  <si>
    <t>Svært mange</t>
  </si>
  <si>
    <t>&lt; 1,6 m</t>
  </si>
  <si>
    <t xml:space="preserve">     &gt; 400</t>
  </si>
  <si>
    <t>(samme tabell; - som bilde til høyre og digital til høyre)</t>
  </si>
  <si>
    <t>Høydeklasser</t>
  </si>
  <si>
    <t>Overflatestruktur-</t>
  </si>
  <si>
    <t>klasser</t>
  </si>
  <si>
    <t>Få</t>
  </si>
  <si>
    <t xml:space="preserve">1. Meget gode </t>
  </si>
  <si>
    <t>kjøreforhold</t>
  </si>
  <si>
    <t>Mange</t>
  </si>
  <si>
    <t>Ingen</t>
  </si>
  <si>
    <t>2. Gode kjøreforhold</t>
  </si>
  <si>
    <t xml:space="preserve">Svært </t>
  </si>
  <si>
    <t>3. Middels gode</t>
  </si>
  <si>
    <t>mange</t>
  </si>
  <si>
    <t>4. Dårlige kjøreforhold</t>
  </si>
  <si>
    <t>Alt terreng vanskeligere enn klasse 4</t>
  </si>
  <si>
    <t xml:space="preserve">             Ingen høydeklasse </t>
  </si>
  <si>
    <t>6. Traktorveier</t>
  </si>
  <si>
    <t>Bedømmelse av overfl. struktur innenfor sirkel (diam.=11,3 m).</t>
  </si>
  <si>
    <t xml:space="preserve">1. Meget gode kjøreforhold: </t>
  </si>
  <si>
    <t>Meget jevnt terreng med svært få hinder over 30 cm.</t>
  </si>
  <si>
    <t xml:space="preserve">2. Gode kjøreforhold: </t>
  </si>
  <si>
    <t>Svært få hinder over 50 cm. Hinder over 70 cm kan forekomme.</t>
  </si>
  <si>
    <t xml:space="preserve">3. Middels gode kjøreforhold:  </t>
  </si>
  <si>
    <t>Svært mange mindre hinder. De fleste er mindre enn 40 cm.</t>
  </si>
  <si>
    <t>Få store hinder. Hinder over 70 cm kan forekomme.</t>
  </si>
  <si>
    <t>4. Dårlige kjøreforhold:</t>
  </si>
  <si>
    <t>Svært mange små hinder. Mange mellomstore og store hinder. Hinder</t>
  </si>
  <si>
    <t>på 50-70 cm kan forekomme.</t>
  </si>
  <si>
    <t>5. Svært dårlige kjøreforhold</t>
  </si>
  <si>
    <t>Alt terreng vaskeligere enn klasse 4</t>
  </si>
  <si>
    <t>&gt; 400</t>
  </si>
  <si>
    <t>400 - 40</t>
  </si>
  <si>
    <t>40 - 4</t>
  </si>
  <si>
    <t>4 - 0,4</t>
  </si>
  <si>
    <t>1. Meget gode kjøreforhold</t>
  </si>
  <si>
    <t>6. Traktorvei</t>
  </si>
  <si>
    <t>Ingen klassifisering</t>
  </si>
  <si>
    <t>Minste grunnfl.sum ved ulike trehøyder</t>
  </si>
  <si>
    <t xml:space="preserve">85 % skattefordel </t>
  </si>
  <si>
    <t>Overhøyde</t>
  </si>
  <si>
    <t>Bonitet</t>
  </si>
  <si>
    <t>Kostnad</t>
  </si>
  <si>
    <t>Skogeiers egenadel i % av totale kostnader</t>
  </si>
  <si>
    <r>
      <t xml:space="preserve">beregnet </t>
    </r>
    <r>
      <rPr>
        <b/>
        <sz val="12"/>
        <rFont val="Arial"/>
        <family val="2"/>
      </rPr>
      <t>etter</t>
    </r>
    <r>
      <rPr>
        <b/>
        <sz val="10"/>
        <rFont val="Arial"/>
        <family val="2"/>
      </rPr>
      <t xml:space="preserve"> skatt, skattefordel 85 %</t>
    </r>
  </si>
  <si>
    <t>Tilskudd i %</t>
  </si>
  <si>
    <t>Marginalskatt i %</t>
  </si>
  <si>
    <t>Reg.gr.fl.sum</t>
  </si>
  <si>
    <t>Hovedtreslag</t>
  </si>
  <si>
    <t>Stubbebehandling</t>
  </si>
  <si>
    <t>Ja</t>
  </si>
  <si>
    <t>HJELPETAB. TYNNING OG SKOGFOND'!$K$22:$P$22</t>
  </si>
  <si>
    <t>Furu</t>
  </si>
  <si>
    <t>Nei</t>
  </si>
  <si>
    <t xml:space="preserve">Skogeiers egenandel i % av totale kostnader </t>
  </si>
  <si>
    <r>
      <t xml:space="preserve">beregnet </t>
    </r>
    <r>
      <rPr>
        <b/>
        <sz val="12"/>
        <rFont val="Arial"/>
        <family val="2"/>
      </rPr>
      <t>før</t>
    </r>
    <r>
      <rPr>
        <b/>
        <sz val="10"/>
        <rFont val="Arial"/>
        <family val="2"/>
      </rPr>
      <t xml:space="preserve"> skatt, skattefordel 85 %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</si>
</sst>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 #,##0_ ;_ * \-#,##0_ ;_ * &quot;-&quot;??_ ;_ @_ "/>
    <numFmt numFmtId="166" formatCode="0.000"/>
    <numFmt numFmtId="167" formatCode="0.0"/>
    <numFmt numFmtId="168" formatCode="_ * #,##0.0_ ;_ * \-#,##0.0_ ;_ * &quot;-&quot;??_ ;_ @_ "/>
    <numFmt numFmtId="169" formatCode="_ * #,##0.000_ ;_ * \-#,##0.000_ ;_ * &quot;-&quot;??_ ;_ @_ "/>
    <numFmt numFmtId="170" formatCode="_ &quot;kr&quot;\ * #,##0_ ;_ &quot;kr&quot;\ * \-#,##0_ ;_ &quot;kr&quot;\ * &quot;-&quot;??_ ;_ @_ "/>
    <numFmt numFmtId="171" formatCode="_(* #,##0_);_(* \(#,##0\);_(* &quot;-&quot;??_);_(@_)"/>
  </numFmts>
  <fonts count="150">
    <font>
      <sz val="11"/>
      <color theme="1"/>
      <name val="Calibri"/>
      <family val="2"/>
      <scheme val="minor"/>
    </font>
    <font>
      <b/>
      <sz val="11"/>
      <color theme="1"/>
      <name val="Calibri"/>
      <family val="2"/>
      <scheme val="minor"/>
    </font>
    <font>
      <sz val="9"/>
      <color indexed="81"/>
      <name val="Tahoma"/>
      <family val="2"/>
    </font>
    <font>
      <b/>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sz val="18"/>
      <color theme="0"/>
      <name val="Calibri"/>
      <family val="2"/>
      <scheme val="minor"/>
    </font>
    <font>
      <sz val="18"/>
      <color theme="1"/>
      <name val="Calibri"/>
      <family val="2"/>
      <scheme val="minor"/>
    </font>
    <font>
      <sz val="11"/>
      <color theme="1"/>
      <name val="Cambria"/>
      <family val="1"/>
    </font>
    <font>
      <sz val="11"/>
      <color theme="1"/>
      <name val="Cambria"/>
      <family val="1"/>
      <scheme val="major"/>
    </font>
    <font>
      <i/>
      <sz val="11"/>
      <color theme="1"/>
      <name val="Calibri"/>
      <family val="2"/>
      <scheme val="minor"/>
    </font>
    <font>
      <b/>
      <sz val="11"/>
      <color theme="1"/>
      <name val="Cambria"/>
      <family val="1"/>
      <scheme val="major"/>
    </font>
    <font>
      <i/>
      <sz val="10"/>
      <color theme="1"/>
      <name val="Cambria"/>
      <family val="1"/>
    </font>
    <font>
      <b/>
      <sz val="9"/>
      <color indexed="81"/>
      <name val="Calibri"/>
      <family val="2"/>
      <scheme val="minor"/>
    </font>
    <font>
      <b/>
      <sz val="12"/>
      <color indexed="81"/>
      <name val="Calibri"/>
      <family val="2"/>
      <scheme val="minor"/>
    </font>
    <font>
      <b/>
      <vertAlign val="subscript"/>
      <sz val="12"/>
      <color theme="1"/>
      <name val="Calibri"/>
      <family val="2"/>
      <scheme val="minor"/>
    </font>
    <font>
      <b/>
      <i/>
      <sz val="11"/>
      <color theme="1"/>
      <name val="Calibri"/>
      <family val="2"/>
      <scheme val="minor"/>
    </font>
    <font>
      <b/>
      <i/>
      <sz val="11"/>
      <color rgb="FFFF0000"/>
      <name val="Calibri"/>
      <family val="2"/>
      <scheme val="minor"/>
    </font>
    <font>
      <sz val="8"/>
      <color theme="1"/>
      <name val="Calibri"/>
      <family val="2"/>
      <scheme val="minor"/>
    </font>
    <font>
      <sz val="11"/>
      <color theme="1"/>
      <name val="Symbol"/>
      <family val="1"/>
      <charset val="2"/>
    </font>
    <font>
      <sz val="8"/>
      <color theme="1"/>
      <name val="Cambria"/>
      <family val="1"/>
    </font>
    <font>
      <b/>
      <sz val="11"/>
      <color rgb="FFFF0000"/>
      <name val="Calibri"/>
      <family val="2"/>
      <scheme val="minor"/>
    </font>
    <font>
      <b/>
      <sz val="16"/>
      <color rgb="FFFF0000"/>
      <name val="Calibri"/>
      <family val="2"/>
      <scheme val="minor"/>
    </font>
    <font>
      <u/>
      <sz val="11"/>
      <color theme="1"/>
      <name val="Calibri"/>
      <family val="2"/>
      <scheme val="minor"/>
    </font>
    <font>
      <i/>
      <sz val="8"/>
      <color theme="1"/>
      <name val="Calibri"/>
      <family val="2"/>
      <scheme val="minor"/>
    </font>
    <font>
      <b/>
      <i/>
      <sz val="14"/>
      <color theme="1"/>
      <name val="Calibri"/>
      <family val="2"/>
      <scheme val="minor"/>
    </font>
    <font>
      <b/>
      <sz val="8"/>
      <color rgb="FFFF0000"/>
      <name val="Calibri"/>
      <family val="2"/>
      <scheme val="minor"/>
    </font>
    <font>
      <b/>
      <sz val="13"/>
      <color rgb="FFFF0000"/>
      <name val="Calibri"/>
      <family val="2"/>
      <scheme val="minor"/>
    </font>
    <font>
      <b/>
      <i/>
      <sz val="12"/>
      <color theme="1"/>
      <name val="Calibri"/>
      <family val="2"/>
      <scheme val="minor"/>
    </font>
    <font>
      <i/>
      <sz val="12"/>
      <color theme="1"/>
      <name val="Calibri"/>
      <family val="2"/>
      <scheme val="minor"/>
    </font>
    <font>
      <b/>
      <sz val="14"/>
      <color theme="0"/>
      <name val="Calibri"/>
      <family val="2"/>
      <scheme val="minor"/>
    </font>
    <font>
      <b/>
      <sz val="24"/>
      <color theme="3"/>
      <name val="Calibri"/>
      <family val="2"/>
      <scheme val="minor"/>
    </font>
    <font>
      <sz val="10"/>
      <color indexed="12"/>
      <name val="Arial"/>
      <family val="2"/>
    </font>
    <font>
      <b/>
      <sz val="10"/>
      <name val="Arial"/>
      <family val="2"/>
    </font>
    <font>
      <sz val="12"/>
      <color indexed="12"/>
      <name val="Arial"/>
      <family val="2"/>
    </font>
    <font>
      <u/>
      <sz val="11"/>
      <color theme="10"/>
      <name val="Calibri"/>
      <family val="2"/>
      <scheme val="minor"/>
    </font>
    <font>
      <b/>
      <sz val="10"/>
      <color indexed="81"/>
      <name val="Calibri"/>
      <family val="2"/>
      <scheme val="minor"/>
    </font>
    <font>
      <vertAlign val="superscript"/>
      <sz val="9"/>
      <color indexed="81"/>
      <name val="Calibri"/>
      <family val="2"/>
      <scheme val="minor"/>
    </font>
    <font>
      <b/>
      <sz val="10"/>
      <color indexed="81"/>
      <name val="Tahoma"/>
      <family val="2"/>
    </font>
    <font>
      <sz val="10"/>
      <color indexed="81"/>
      <name val="Tahoma"/>
      <family val="2"/>
    </font>
    <font>
      <sz val="10"/>
      <color indexed="81"/>
      <name val="Calibri"/>
      <family val="2"/>
      <scheme val="minor"/>
    </font>
    <font>
      <b/>
      <sz val="16"/>
      <color theme="1"/>
      <name val="Calibri"/>
      <family val="2"/>
      <scheme val="minor"/>
    </font>
    <font>
      <sz val="11"/>
      <color rgb="FFFF0000"/>
      <name val="Calibri"/>
      <family val="2"/>
      <scheme val="minor"/>
    </font>
    <font>
      <strike/>
      <sz val="11"/>
      <color theme="1"/>
      <name val="Calibri"/>
      <family val="2"/>
      <scheme val="minor"/>
    </font>
    <font>
      <strike/>
      <sz val="8"/>
      <color theme="1"/>
      <name val="Calibri"/>
      <family val="2"/>
      <scheme val="minor"/>
    </font>
    <font>
      <strike/>
      <sz val="11"/>
      <color rgb="FFFF0000"/>
      <name val="Calibri"/>
      <family val="2"/>
      <scheme val="minor"/>
    </font>
    <font>
      <i/>
      <strike/>
      <sz val="11"/>
      <color theme="1"/>
      <name val="Calibri"/>
      <family val="2"/>
      <scheme val="minor"/>
    </font>
    <font>
      <b/>
      <sz val="11"/>
      <color theme="3"/>
      <name val="Calibri"/>
      <family val="2"/>
      <scheme val="minor"/>
    </font>
    <font>
      <b/>
      <sz val="33"/>
      <color theme="4"/>
      <name val="Calibri"/>
      <family val="2"/>
      <scheme val="minor"/>
    </font>
    <font>
      <sz val="8"/>
      <color theme="6"/>
      <name val="Calibri"/>
      <family val="2"/>
      <scheme val="minor"/>
    </font>
    <font>
      <sz val="10"/>
      <color theme="0"/>
      <name val="Calibri"/>
      <family val="2"/>
      <scheme val="minor"/>
    </font>
    <font>
      <sz val="12"/>
      <color theme="1" tint="0.249977111117893"/>
      <name val="Calibri"/>
      <family val="2"/>
      <scheme val="minor"/>
    </font>
    <font>
      <b/>
      <sz val="12"/>
      <color theme="1" tint="0.249977111117893"/>
      <name val="Calibri"/>
      <family val="2"/>
      <scheme val="minor"/>
    </font>
    <font>
      <b/>
      <sz val="28"/>
      <color theme="3"/>
      <name val="Calibri"/>
      <family val="2"/>
      <scheme val="minor"/>
    </font>
    <font>
      <b/>
      <sz val="48"/>
      <color theme="3"/>
      <name val="Calibri"/>
      <family val="2"/>
      <scheme val="minor"/>
    </font>
    <font>
      <b/>
      <sz val="18"/>
      <color rgb="FFFF0000"/>
      <name val="Verdana"/>
      <family val="2"/>
    </font>
    <font>
      <b/>
      <sz val="18"/>
      <color theme="3"/>
      <name val="Calibri"/>
      <family val="2"/>
      <scheme val="minor"/>
    </font>
    <font>
      <b/>
      <vertAlign val="subscript"/>
      <sz val="12"/>
      <color theme="1" tint="0.249977111117893"/>
      <name val="Calibri"/>
      <family val="2"/>
      <scheme val="minor"/>
    </font>
    <font>
      <vertAlign val="superscript"/>
      <sz val="12"/>
      <color theme="1" tint="0.249977111117893"/>
      <name val="Calibri"/>
      <family val="2"/>
      <scheme val="minor"/>
    </font>
    <font>
      <b/>
      <sz val="36"/>
      <color theme="3"/>
      <name val="Calibri"/>
      <family val="2"/>
      <scheme val="minor"/>
    </font>
    <font>
      <sz val="11"/>
      <color theme="1"/>
      <name val="Verdana"/>
      <family val="2"/>
    </font>
    <font>
      <b/>
      <sz val="22"/>
      <color rgb="FF002060"/>
      <name val="Verdana"/>
      <family val="2"/>
    </font>
    <font>
      <b/>
      <sz val="18"/>
      <color rgb="FF002060"/>
      <name val="Verdana"/>
      <family val="2"/>
    </font>
    <font>
      <sz val="11.5"/>
      <color theme="1" tint="0.249977111117893"/>
      <name val="Calibri"/>
      <family val="2"/>
      <scheme val="minor"/>
    </font>
    <font>
      <b/>
      <sz val="28"/>
      <color theme="1" tint="0.14999847407452621"/>
      <name val="Arial"/>
      <family val="2"/>
    </font>
    <font>
      <b/>
      <sz val="12"/>
      <color rgb="FFFF0000"/>
      <name val="Arial"/>
      <family val="2"/>
    </font>
    <font>
      <b/>
      <sz val="18"/>
      <name val="Arial"/>
      <family val="2"/>
    </font>
    <font>
      <b/>
      <sz val="18"/>
      <color theme="1" tint="0.14999847407452621"/>
      <name val="Calibri"/>
      <family val="2"/>
      <scheme val="minor"/>
    </font>
    <font>
      <sz val="14"/>
      <color theme="1" tint="0.249977111117893"/>
      <name val="Calibri"/>
      <family val="2"/>
      <scheme val="minor"/>
    </font>
    <font>
      <sz val="10"/>
      <name val="Arial"/>
      <family val="2"/>
    </font>
    <font>
      <sz val="12"/>
      <name val="Calibri"/>
      <family val="2"/>
      <scheme val="minor"/>
    </font>
    <font>
      <b/>
      <sz val="14"/>
      <color theme="1" tint="0.249977111117893"/>
      <name val="Calibri"/>
      <family val="2"/>
      <scheme val="minor"/>
    </font>
    <font>
      <b/>
      <sz val="10"/>
      <color theme="1" tint="0.249977111117893"/>
      <name val="Calibri"/>
      <family val="2"/>
      <scheme val="minor"/>
    </font>
    <font>
      <b/>
      <vertAlign val="superscript"/>
      <sz val="10"/>
      <color theme="1" tint="0.249977111117893"/>
      <name val="Calibri"/>
      <family val="2"/>
      <scheme val="minor"/>
    </font>
    <font>
      <b/>
      <vertAlign val="subscript"/>
      <sz val="10"/>
      <color theme="1" tint="0.249977111117893"/>
      <name val="Calibri"/>
      <family val="2"/>
      <scheme val="minor"/>
    </font>
    <font>
      <b/>
      <sz val="10"/>
      <color theme="0" tint="-0.14999847407452621"/>
      <name val="Calibri"/>
      <family val="2"/>
      <scheme val="minor"/>
    </font>
    <font>
      <b/>
      <vertAlign val="subscript"/>
      <sz val="10"/>
      <color theme="0" tint="-0.14999847407452621"/>
      <name val="Calibri"/>
      <family val="2"/>
      <scheme val="minor"/>
    </font>
    <font>
      <sz val="12"/>
      <color indexed="10"/>
      <name val="Arial"/>
      <family val="2"/>
    </font>
    <font>
      <b/>
      <sz val="18"/>
      <color theme="0" tint="-0.14999847407452621"/>
      <name val="Calibri"/>
      <family val="2"/>
      <scheme val="minor"/>
    </font>
    <font>
      <sz val="10"/>
      <color theme="0" tint="-0.14999847407452621"/>
      <name val="Arial"/>
      <family val="2"/>
    </font>
    <font>
      <b/>
      <sz val="10"/>
      <color theme="1" tint="0.249977111117893"/>
      <name val="Arial"/>
      <family val="2"/>
    </font>
    <font>
      <b/>
      <sz val="18"/>
      <color rgb="FFFA7D00"/>
      <name val="Calibri"/>
      <family val="2"/>
      <scheme val="minor"/>
    </font>
    <font>
      <sz val="14"/>
      <name val="Calibri"/>
      <family val="2"/>
      <scheme val="minor"/>
    </font>
    <font>
      <vertAlign val="superscript"/>
      <sz val="14"/>
      <color theme="1" tint="0.249977111117893"/>
      <name val="Calibri"/>
      <family val="2"/>
      <scheme val="minor"/>
    </font>
    <font>
      <b/>
      <sz val="16"/>
      <color theme="1" tint="0.14999847407452621"/>
      <name val="Calibri"/>
      <family val="2"/>
      <scheme val="minor"/>
    </font>
    <font>
      <b/>
      <sz val="14"/>
      <name val="Calibri"/>
      <family val="2"/>
      <scheme val="minor"/>
    </font>
    <font>
      <sz val="20"/>
      <name val="Arial"/>
      <family val="2"/>
    </font>
    <font>
      <sz val="18"/>
      <name val="Arial"/>
      <family val="2"/>
    </font>
    <font>
      <sz val="13"/>
      <color theme="1" tint="0.249977111117893"/>
      <name val="Calibri"/>
      <family val="2"/>
      <scheme val="minor"/>
    </font>
    <font>
      <sz val="13"/>
      <color rgb="FFFF0000"/>
      <name val="Calibri"/>
      <family val="2"/>
      <scheme val="minor"/>
    </font>
    <font>
      <sz val="13"/>
      <color rgb="FFFFFF00"/>
      <name val="Calibri"/>
      <family val="2"/>
      <scheme val="minor"/>
    </font>
    <font>
      <b/>
      <sz val="13"/>
      <color theme="1" tint="0.249977111117893"/>
      <name val="Calibri"/>
      <family val="2"/>
      <scheme val="minor"/>
    </font>
    <font>
      <sz val="8"/>
      <color indexed="81"/>
      <name val="Tahoma"/>
      <family val="2"/>
    </font>
    <font>
      <sz val="11"/>
      <color indexed="81"/>
      <name val="Tahoma"/>
      <family val="2"/>
    </font>
    <font>
      <vertAlign val="superscript"/>
      <sz val="11"/>
      <color indexed="81"/>
      <name val="Tahoma"/>
      <family val="2"/>
    </font>
    <font>
      <b/>
      <sz val="9"/>
      <color indexed="81"/>
      <name val="Tahoma"/>
      <family val="2"/>
    </font>
    <font>
      <b/>
      <sz val="14"/>
      <name val="Arial"/>
      <family val="2"/>
    </font>
    <font>
      <b/>
      <sz val="12"/>
      <name val="Arial"/>
      <family val="2"/>
    </font>
    <font>
      <b/>
      <sz val="11"/>
      <color indexed="81"/>
      <name val="Tahoma"/>
      <family val="2"/>
    </font>
    <font>
      <u/>
      <sz val="14"/>
      <color theme="10"/>
      <name val="Calibri"/>
      <family val="2"/>
      <scheme val="minor"/>
    </font>
    <font>
      <b/>
      <sz val="20"/>
      <color rgb="FFFA7D00"/>
      <name val="Calibri"/>
      <family val="2"/>
      <scheme val="minor"/>
    </font>
    <font>
      <sz val="16"/>
      <color theme="1" tint="0.14999847407452621"/>
      <name val="Calibri"/>
      <family val="2"/>
      <scheme val="minor"/>
    </font>
    <font>
      <b/>
      <sz val="14"/>
      <color indexed="81"/>
      <name val="Tahoma"/>
      <family val="2"/>
    </font>
    <font>
      <i/>
      <sz val="16"/>
      <color theme="1" tint="0.14999847407452621"/>
      <name val="Calibri"/>
      <family val="2"/>
      <scheme val="minor"/>
    </font>
    <font>
      <b/>
      <sz val="18"/>
      <color theme="1" tint="0.249977111117893"/>
      <name val="Calibri"/>
      <family val="2"/>
      <scheme val="minor"/>
    </font>
    <font>
      <b/>
      <sz val="20"/>
      <color theme="1" tint="0.14999847407452621"/>
      <name val="Calibri"/>
      <family val="2"/>
      <scheme val="minor"/>
    </font>
    <font>
      <sz val="16"/>
      <color theme="1" tint="0.249977111117893"/>
      <name val="Calibri"/>
      <family val="2"/>
      <scheme val="minor"/>
    </font>
    <font>
      <sz val="18"/>
      <color theme="1" tint="0.14999847407452621"/>
      <name val="Calibri"/>
      <family val="2"/>
      <scheme val="minor"/>
    </font>
    <font>
      <i/>
      <sz val="18"/>
      <color theme="1" tint="0.14999847407452621"/>
      <name val="Calibri"/>
      <family val="2"/>
      <scheme val="minor"/>
    </font>
    <font>
      <i/>
      <sz val="16"/>
      <color theme="1" tint="0.249977111117893"/>
      <name val="Calibri"/>
      <family val="2"/>
      <scheme val="minor"/>
    </font>
    <font>
      <b/>
      <sz val="14"/>
      <color theme="1" tint="0.14999847407452621"/>
      <name val="Calibri"/>
      <family val="2"/>
      <scheme val="minor"/>
    </font>
    <font>
      <b/>
      <sz val="28"/>
      <color theme="1" tint="0.14999847407452621"/>
      <name val="Calibri"/>
      <family val="2"/>
      <scheme val="minor"/>
    </font>
    <font>
      <b/>
      <sz val="28"/>
      <color rgb="FFFF0000"/>
      <name val="Calibri"/>
      <family val="2"/>
      <scheme val="minor"/>
    </font>
    <font>
      <i/>
      <sz val="15"/>
      <color theme="1"/>
      <name val="Calibri"/>
      <family val="2"/>
      <scheme val="minor"/>
    </font>
    <font>
      <b/>
      <sz val="14"/>
      <color theme="1"/>
      <name val="Calibri"/>
      <family val="2"/>
      <scheme val="minor"/>
    </font>
    <font>
      <b/>
      <sz val="20"/>
      <color rgb="FFFF0000"/>
      <name val="Calibri"/>
      <family val="2"/>
      <scheme val="minor"/>
    </font>
    <font>
      <sz val="17.5"/>
      <color theme="1" tint="0.14999847407452621"/>
      <name val="Calibri"/>
      <family val="2"/>
      <scheme val="minor"/>
    </font>
    <font>
      <b/>
      <sz val="17.5"/>
      <color theme="1" tint="0.14999847407452621"/>
      <name val="Calibri"/>
      <family val="2"/>
      <scheme val="minor"/>
    </font>
    <font>
      <sz val="14"/>
      <color theme="1" tint="0.14999847407452621"/>
      <name val="Calibri"/>
      <family val="2"/>
      <scheme val="minor"/>
    </font>
    <font>
      <sz val="11"/>
      <color theme="0" tint="-4.9989318521683403E-2"/>
      <name val="Calibri"/>
      <family val="2"/>
      <scheme val="minor"/>
    </font>
    <font>
      <b/>
      <sz val="24"/>
      <color theme="1" tint="0.14999847407452621"/>
      <name val="Calibri"/>
      <family val="2"/>
      <scheme val="minor"/>
    </font>
    <font>
      <sz val="11"/>
      <color rgb="FF9C5700"/>
      <name val="Calibri"/>
      <family val="2"/>
      <scheme val="minor"/>
    </font>
    <font>
      <b/>
      <sz val="9.5"/>
      <color theme="1" tint="0.249977111117893"/>
      <name val="Calibri"/>
      <family val="2"/>
      <scheme val="minor"/>
    </font>
    <font>
      <b/>
      <i/>
      <sz val="11"/>
      <color indexed="8"/>
      <name val="Calibri"/>
      <family val="2"/>
      <scheme val="minor"/>
    </font>
    <font>
      <b/>
      <sz val="9"/>
      <color theme="3"/>
      <name val="Calibri"/>
      <family val="2"/>
      <scheme val="minor"/>
    </font>
    <font>
      <sz val="26"/>
      <color theme="0"/>
      <name val="Calibri"/>
      <family val="2"/>
      <scheme val="minor"/>
    </font>
    <font>
      <b/>
      <sz val="28"/>
      <color theme="0"/>
      <name val="Calibri"/>
      <family val="2"/>
      <scheme val="minor"/>
    </font>
    <font>
      <sz val="36"/>
      <color theme="0"/>
      <name val="Calibri"/>
      <family val="2"/>
      <scheme val="minor"/>
    </font>
    <font>
      <sz val="11"/>
      <color theme="0"/>
      <name val="Inherit"/>
    </font>
    <font>
      <b/>
      <i/>
      <sz val="11"/>
      <color theme="0"/>
      <name val="Inhereit"/>
    </font>
    <font>
      <sz val="18"/>
      <color rgb="FFFF0000"/>
      <name val="Calibri"/>
      <family val="2"/>
      <scheme val="minor"/>
    </font>
    <font>
      <sz val="11"/>
      <color theme="1"/>
      <name val="Inher"/>
    </font>
    <font>
      <b/>
      <i/>
      <sz val="11"/>
      <color theme="1"/>
      <name val="Inher"/>
    </font>
    <font>
      <b/>
      <i/>
      <sz val="20"/>
      <color theme="3"/>
      <name val="Calibri"/>
      <family val="2"/>
      <scheme val="minor"/>
    </font>
    <font>
      <b/>
      <sz val="24"/>
      <color rgb="FFFA7D00"/>
      <name val="Calibri"/>
      <family val="2"/>
      <scheme val="minor"/>
    </font>
    <font>
      <sz val="16"/>
      <color theme="1"/>
      <name val="Calibri"/>
      <family val="2"/>
      <scheme val="minor"/>
    </font>
    <font>
      <sz val="10"/>
      <color theme="1"/>
      <name val="Calibri"/>
      <family val="2"/>
      <scheme val="minor"/>
    </font>
    <font>
      <b/>
      <i/>
      <sz val="12"/>
      <color indexed="81"/>
      <name val="Tahoma"/>
      <family val="2"/>
    </font>
    <font>
      <u/>
      <sz val="11"/>
      <color rgb="FF7030A0"/>
      <name val="Calibri"/>
      <family val="2"/>
      <scheme val="minor"/>
    </font>
    <font>
      <b/>
      <u/>
      <sz val="10"/>
      <color rgb="FF7030A0"/>
      <name val="Calibri"/>
      <family val="2"/>
      <scheme val="minor"/>
    </font>
    <font>
      <b/>
      <u/>
      <sz val="14"/>
      <color rgb="FF7030A0"/>
      <name val="Calibri"/>
      <family val="2"/>
      <scheme val="minor"/>
    </font>
    <font>
      <b/>
      <i/>
      <u/>
      <sz val="16"/>
      <color rgb="FF0000A0"/>
      <name val="Calibri"/>
      <family val="2"/>
      <scheme val="minor"/>
    </font>
    <font>
      <i/>
      <sz val="16"/>
      <color rgb="FF0000A0"/>
      <name val="Calibri"/>
      <family val="2"/>
      <scheme val="minor"/>
    </font>
    <font>
      <b/>
      <sz val="10"/>
      <color rgb="FF7030A0"/>
      <name val="Calibri"/>
      <family val="2"/>
      <scheme val="minor"/>
    </font>
    <font>
      <b/>
      <sz val="12"/>
      <color theme="0"/>
      <name val="Arial"/>
      <family val="2"/>
    </font>
  </fonts>
  <fills count="2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002060"/>
        <bgColor indexed="64"/>
      </patternFill>
    </fill>
    <fill>
      <patternFill patternType="solid">
        <fgColor theme="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6"/>
        <bgColor theme="6"/>
      </patternFill>
    </fill>
    <fill>
      <patternFill patternType="solid">
        <fgColor theme="0" tint="-0.14999847407452621"/>
        <bgColor theme="0" tint="-0.14999847407452621"/>
      </patternFill>
    </fill>
    <fill>
      <patternFill patternType="solid">
        <fgColor theme="2" tint="-0.249977111117893"/>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EAEAEA"/>
        <bgColor indexed="64"/>
      </patternFill>
    </fill>
    <fill>
      <patternFill patternType="solid">
        <fgColor rgb="FFFFEB9C"/>
      </patternFill>
    </fill>
    <fill>
      <patternFill patternType="solid">
        <fgColor theme="1" tint="0.34998626667073579"/>
        <bgColor indexed="64"/>
      </patternFill>
    </fill>
    <fill>
      <patternFill patternType="solid">
        <fgColor rgb="FFDDD305"/>
        <bgColor indexed="64"/>
      </patternFill>
    </fill>
    <fill>
      <gradientFill type="path">
        <stop position="0">
          <color theme="0"/>
        </stop>
        <stop position="1">
          <color theme="0" tint="-0.34900967436750391"/>
        </stop>
      </gradientFill>
    </fill>
  </fills>
  <borders count="159">
    <border>
      <left/>
      <right/>
      <top/>
      <bottom/>
      <diagonal/>
    </border>
    <border>
      <left/>
      <right/>
      <top/>
      <bottom style="thick">
        <color theme="4"/>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theme="1"/>
      </top>
      <bottom style="medium">
        <color theme="1"/>
      </bottom>
      <diagonal/>
    </border>
    <border>
      <left/>
      <right/>
      <top/>
      <bottom style="medium">
        <color theme="1"/>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theme="1" tint="0.34998626667073579"/>
      </left>
      <right/>
      <top/>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style="thin">
        <color indexed="64"/>
      </top>
      <bottom style="thin">
        <color indexed="64"/>
      </bottom>
      <diagonal/>
    </border>
    <border>
      <left style="medium">
        <color theme="1" tint="0.34998626667073579"/>
      </left>
      <right style="thin">
        <color indexed="64"/>
      </right>
      <top style="thin">
        <color indexed="64"/>
      </top>
      <bottom style="thin">
        <color indexed="64"/>
      </bottom>
      <diagonal/>
    </border>
    <border>
      <left style="medium">
        <color theme="1" tint="0.34998626667073579"/>
      </left>
      <right style="thin">
        <color indexed="64"/>
      </right>
      <top style="thin">
        <color indexed="64"/>
      </top>
      <bottom/>
      <diagonal/>
    </border>
    <border>
      <left style="medium">
        <color theme="1" tint="0.34998626667073579"/>
      </left>
      <right style="thin">
        <color indexed="64"/>
      </right>
      <top/>
      <bottom style="thin">
        <color indexed="64"/>
      </bottom>
      <diagonal/>
    </border>
    <border>
      <left style="medium">
        <color theme="1" tint="0.34998626667073579"/>
      </left>
      <right style="thin">
        <color indexed="64"/>
      </right>
      <top/>
      <bottom/>
      <diagonal/>
    </border>
    <border>
      <left/>
      <right style="medium">
        <color theme="1" tint="0.34998626667073579"/>
      </right>
      <top style="thin">
        <color indexed="64"/>
      </top>
      <bottom style="thin">
        <color indexed="64"/>
      </bottom>
      <diagonal/>
    </border>
    <border>
      <left style="medium">
        <color theme="1" tint="0.34998626667073579"/>
      </left>
      <right/>
      <top style="thin">
        <color indexed="64"/>
      </top>
      <bottom/>
      <diagonal/>
    </border>
    <border>
      <left/>
      <right style="medium">
        <color theme="1" tint="0.34998626667073579"/>
      </right>
      <top style="thin">
        <color indexed="64"/>
      </top>
      <bottom/>
      <diagonal/>
    </border>
    <border>
      <left style="medium">
        <color theme="1" tint="0.34998626667073579"/>
      </left>
      <right/>
      <top/>
      <bottom style="thin">
        <color indexed="64"/>
      </bottom>
      <diagonal/>
    </border>
    <border>
      <left/>
      <right style="medium">
        <color theme="1" tint="0.34998626667073579"/>
      </right>
      <top/>
      <bottom style="thin">
        <color indexed="64"/>
      </bottom>
      <diagonal/>
    </border>
    <border>
      <left style="medium">
        <color theme="1" tint="0.34998626667073579"/>
      </left>
      <right/>
      <top style="thin">
        <color indexed="64"/>
      </top>
      <bottom style="medium">
        <color theme="1" tint="0.34998626667073579"/>
      </bottom>
      <diagonal/>
    </border>
    <border>
      <left/>
      <right/>
      <top style="thin">
        <color indexed="64"/>
      </top>
      <bottom style="medium">
        <color theme="1" tint="0.34998626667073579"/>
      </bottom>
      <diagonal/>
    </border>
    <border>
      <left/>
      <right style="medium">
        <color theme="1" tint="0.34998626667073579"/>
      </right>
      <top style="thin">
        <color indexed="64"/>
      </top>
      <bottom style="medium">
        <color theme="1" tint="0.34998626667073579"/>
      </bottom>
      <diagonal/>
    </border>
    <border>
      <left/>
      <right style="double">
        <color theme="1" tint="0.34998626667073579"/>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theme="4" tint="0.39997558519241921"/>
      </bottom>
      <diagonal/>
    </border>
    <border>
      <left/>
      <right/>
      <top/>
      <bottom style="double">
        <color theme="0" tint="-0.34998626667073579"/>
      </bottom>
      <diagonal/>
    </border>
    <border>
      <left/>
      <right/>
      <top style="double">
        <color theme="0" tint="-0.34998626667073579"/>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ck">
        <color theme="1" tint="0.24994659260841701"/>
      </left>
      <right style="thick">
        <color theme="1" tint="0.24994659260841701"/>
      </right>
      <top style="thick">
        <color theme="1" tint="0.24994659260841701"/>
      </top>
      <bottom style="thick">
        <color theme="1" tint="0.2499465926084170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style="thin">
        <color theme="0" tint="-0.249977111117893"/>
      </top>
      <bottom/>
      <diagonal/>
    </border>
    <border>
      <left style="medium">
        <color rgb="FFC0C0C0"/>
      </left>
      <right style="medium">
        <color theme="0" tint="-0.249977111117893"/>
      </right>
      <top style="medium">
        <color rgb="FFC0C0C0"/>
      </top>
      <bottom style="medium">
        <color theme="0" tint="-0.249977111117893"/>
      </bottom>
      <diagonal/>
    </border>
    <border>
      <left/>
      <right/>
      <top style="medium">
        <color rgb="FFC0C0C0"/>
      </top>
      <bottom style="medium">
        <color theme="0" tint="-0.249977111117893"/>
      </bottom>
      <diagonal/>
    </border>
    <border>
      <left/>
      <right style="medium">
        <color rgb="FFC0C0C0"/>
      </right>
      <top style="medium">
        <color rgb="FFC0C0C0"/>
      </top>
      <bottom style="medium">
        <color theme="0" tint="-0.249977111117893"/>
      </bottom>
      <diagonal/>
    </border>
    <border>
      <left style="medium">
        <color rgb="FFC0C0C0"/>
      </left>
      <right style="medium">
        <color theme="0" tint="-0.249977111117893"/>
      </right>
      <top/>
      <bottom/>
      <diagonal/>
    </border>
    <border>
      <left style="medium">
        <color theme="0" tint="-0.249977111117893"/>
      </left>
      <right style="thin">
        <color theme="0" tint="-0.14996795556505021"/>
      </right>
      <top style="medium">
        <color theme="0" tint="-0.249977111117893"/>
      </top>
      <bottom style="thin">
        <color theme="0" tint="-0.14996795556505021"/>
      </bottom>
      <diagonal/>
    </border>
    <border>
      <left style="thin">
        <color theme="0" tint="-0.14996795556505021"/>
      </left>
      <right style="thin">
        <color theme="0" tint="-0.14996795556505021"/>
      </right>
      <top style="medium">
        <color theme="0" tint="-0.249977111117893"/>
      </top>
      <bottom style="thin">
        <color theme="0" tint="-0.14996795556505021"/>
      </bottom>
      <diagonal/>
    </border>
    <border>
      <left style="thin">
        <color theme="0" tint="-0.14996795556505021"/>
      </left>
      <right style="medium">
        <color rgb="FFC0C0C0"/>
      </right>
      <top style="medium">
        <color theme="0" tint="-0.249977111117893"/>
      </top>
      <bottom style="thin">
        <color theme="0" tint="-0.14996795556505021"/>
      </bottom>
      <diagonal/>
    </border>
    <border>
      <left style="medium">
        <color theme="0" tint="-0.249977111117893"/>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rgb="FFC0C0C0"/>
      </right>
      <top style="thin">
        <color theme="0" tint="-0.14996795556505021"/>
      </top>
      <bottom style="thin">
        <color theme="0" tint="-0.14996795556505021"/>
      </bottom>
      <diagonal/>
    </border>
    <border>
      <left style="medium">
        <color theme="0" tint="-0.249977111117893"/>
      </left>
      <right style="thin">
        <color theme="0" tint="-0.14996795556505021"/>
      </right>
      <top style="thin">
        <color theme="0" tint="-0.14996795556505021"/>
      </top>
      <bottom style="medium">
        <color theme="0" tint="-0.249977111117893"/>
      </bottom>
      <diagonal/>
    </border>
    <border>
      <left style="thin">
        <color theme="0" tint="-0.14996795556505021"/>
      </left>
      <right style="thin">
        <color theme="0" tint="-0.14996795556505021"/>
      </right>
      <top style="thin">
        <color theme="0" tint="-0.14996795556505021"/>
      </top>
      <bottom style="medium">
        <color theme="0" tint="-0.249977111117893"/>
      </bottom>
      <diagonal/>
    </border>
    <border>
      <left style="thin">
        <color theme="0" tint="-0.14996795556505021"/>
      </left>
      <right style="medium">
        <color rgb="FFC0C0C0"/>
      </right>
      <top style="thin">
        <color theme="0" tint="-0.14996795556505021"/>
      </top>
      <bottom style="medium">
        <color theme="0" tint="-0.249977111117893"/>
      </bottom>
      <diagonal/>
    </border>
    <border>
      <left style="medium">
        <color rgb="FFC0C0C0"/>
      </left>
      <right/>
      <top style="medium">
        <color theme="0" tint="-0.249977111117893"/>
      </top>
      <bottom style="medium">
        <color rgb="FFC0C0C0"/>
      </bottom>
      <diagonal/>
    </border>
    <border>
      <left/>
      <right/>
      <top style="medium">
        <color theme="0" tint="-0.249977111117893"/>
      </top>
      <bottom style="medium">
        <color rgb="FFC0C0C0"/>
      </bottom>
      <diagonal/>
    </border>
    <border>
      <left/>
      <right style="medium">
        <color rgb="FFC0C0C0"/>
      </right>
      <top style="medium">
        <color theme="0" tint="-0.249977111117893"/>
      </top>
      <bottom style="medium">
        <color rgb="FFC0C0C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theme="0" tint="-0.14993743705557422"/>
      </right>
      <top/>
      <bottom/>
      <diagonal/>
    </border>
    <border>
      <left style="thin">
        <color indexed="64"/>
      </left>
      <right style="medium">
        <color theme="1"/>
      </right>
      <top/>
      <bottom style="medium">
        <color theme="1"/>
      </bottom>
      <diagonal/>
    </border>
    <border>
      <left style="thin">
        <color indexed="64"/>
      </left>
      <right style="thin">
        <color indexed="64"/>
      </right>
      <top/>
      <bottom style="medium">
        <color theme="1"/>
      </bottom>
      <diagonal/>
    </border>
    <border>
      <left style="medium">
        <color theme="1"/>
      </left>
      <right style="thin">
        <color indexed="64"/>
      </right>
      <top/>
      <bottom style="medium">
        <color theme="1"/>
      </bottom>
      <diagonal/>
    </border>
    <border>
      <left style="thin">
        <color indexed="64"/>
      </left>
      <right style="medium">
        <color theme="1"/>
      </right>
      <top/>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bottom/>
      <diagonal/>
    </border>
    <border>
      <left style="medium">
        <color theme="1"/>
      </left>
      <right/>
      <top/>
      <bottom style="thin">
        <color indexed="64"/>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medium">
        <color rgb="FFC0C0C0"/>
      </right>
      <top/>
      <bottom/>
      <diagonal/>
    </border>
    <border>
      <left style="medium">
        <color rgb="FFC0C0C0"/>
      </left>
      <right/>
      <top/>
      <bottom/>
      <diagonal/>
    </border>
    <border>
      <left style="medium">
        <color indexed="64"/>
      </left>
      <right style="medium">
        <color theme="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theme="1"/>
      </right>
      <top/>
      <bottom style="thin">
        <color indexed="64"/>
      </bottom>
      <diagonal/>
    </border>
    <border>
      <left style="medium">
        <color theme="1"/>
      </left>
      <right/>
      <top/>
      <bottom/>
      <diagonal/>
    </border>
    <border>
      <left/>
      <right style="medium">
        <color rgb="FFC0C0C0"/>
      </right>
      <top style="medium">
        <color rgb="FFC0C0C0"/>
      </top>
      <bottom/>
      <diagonal/>
    </border>
    <border>
      <left/>
      <right/>
      <top style="medium">
        <color rgb="FFC0C0C0"/>
      </top>
      <bottom/>
      <diagonal/>
    </border>
    <border>
      <left style="medium">
        <color rgb="FFC0C0C0"/>
      </left>
      <right/>
      <top style="medium">
        <color rgb="FFC0C0C0"/>
      </top>
      <bottom/>
      <diagonal/>
    </border>
    <border>
      <left/>
      <right/>
      <top style="thin">
        <color theme="1" tint="0.14999847407452621"/>
      </top>
      <bottom style="double">
        <color theme="1" tint="0.1499984740745262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1" tint="0.499984740745262"/>
      </left>
      <right style="thick">
        <color theme="0" tint="-0.14996795556505021"/>
      </right>
      <top style="thick">
        <color theme="1" tint="0.499984740745262"/>
      </top>
      <bottom style="thick">
        <color theme="0" tint="-0.14996795556505021"/>
      </bottom>
      <diagonal/>
    </border>
    <border>
      <left/>
      <right style="thick">
        <color theme="0" tint="-0.14996795556505021"/>
      </right>
      <top style="thick">
        <color theme="1" tint="0.499984740745262"/>
      </top>
      <bottom style="thick">
        <color theme="0" tint="-0.14996795556505021"/>
      </bottom>
      <diagonal/>
    </border>
    <border>
      <left style="thick">
        <color theme="1" tint="0.499984740745262"/>
      </left>
      <right/>
      <top style="thick">
        <color theme="1" tint="0.499984740745262"/>
      </top>
      <bottom style="thick">
        <color theme="0" tint="-0.14996795556505021"/>
      </bottom>
      <diagonal/>
    </border>
    <border>
      <left/>
      <right/>
      <top style="thick">
        <color theme="1" tint="0.499984740745262"/>
      </top>
      <bottom style="thick">
        <color theme="0" tint="-0.14996795556505021"/>
      </bottom>
      <diagonal/>
    </border>
    <border>
      <left/>
      <right/>
      <top/>
      <bottom style="thin">
        <color theme="0" tint="-0.14996795556505021"/>
      </bottom>
      <diagonal/>
    </border>
    <border>
      <left style="thin">
        <color theme="0" tint="-0.499984740745262"/>
      </left>
      <right/>
      <top style="thin">
        <color theme="0" tint="-0.499984740745262"/>
      </top>
      <bottom style="thin">
        <color theme="0" tint="-0.499984740745262"/>
      </bottom>
      <diagonal/>
    </border>
    <border>
      <left style="thick">
        <color theme="1" tint="0.499984740745262"/>
      </left>
      <right/>
      <top style="thick">
        <color theme="0" tint="-0.499984740745262"/>
      </top>
      <bottom style="thick">
        <color theme="0" tint="-0.14996795556505021"/>
      </bottom>
      <diagonal/>
    </border>
    <border>
      <left style="thick">
        <color theme="1" tint="0.499984740745262"/>
      </left>
      <right style="thick">
        <color theme="0" tint="-0.14996795556505021"/>
      </right>
      <top style="thick">
        <color theme="1" tint="0.499984740745262"/>
      </top>
      <bottom/>
      <diagonal/>
    </border>
    <border>
      <left style="thick">
        <color theme="1" tint="0.499984740745262"/>
      </left>
      <right style="thick">
        <color theme="0" tint="-0.14996795556505021"/>
      </right>
      <top/>
      <bottom/>
      <diagonal/>
    </border>
    <border>
      <left style="thick">
        <color theme="1" tint="0.499984740745262"/>
      </left>
      <right style="thick">
        <color theme="0" tint="-0.14996795556505021"/>
      </right>
      <top/>
      <bottom style="thick">
        <color theme="0" tint="-0.14996795556505021"/>
      </bottom>
      <diagonal/>
    </border>
    <border>
      <left/>
      <right style="thick">
        <color theme="1" tint="0.499984740745262"/>
      </right>
      <top style="thin">
        <color theme="0" tint="-0.499984740745262"/>
      </top>
      <bottom style="thin">
        <color theme="0" tint="-0.499984740745262"/>
      </bottom>
      <diagonal/>
    </border>
    <border>
      <left style="thin">
        <color theme="0" tint="-0.499984740745262"/>
      </left>
      <right style="thick">
        <color theme="1" tint="0.499984740745262"/>
      </right>
      <top style="thin">
        <color theme="0" tint="-0.499984740745262"/>
      </top>
      <bottom/>
      <diagonal/>
    </border>
    <border>
      <left style="thin">
        <color theme="0" tint="-0.499984740745262"/>
      </left>
      <right style="thick">
        <color theme="1" tint="0.499984740745262"/>
      </right>
      <top/>
      <bottom/>
      <diagonal/>
    </border>
    <border>
      <left style="thin">
        <color theme="0" tint="-0.499984740745262"/>
      </left>
      <right style="thick">
        <color theme="1" tint="0.499984740745262"/>
      </right>
      <top/>
      <bottom style="thin">
        <color theme="0" tint="-0.499984740745262"/>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ck">
        <color theme="0" tint="-4.9989318521683403E-2"/>
      </right>
      <top style="thick">
        <color theme="1" tint="0.499984740745262"/>
      </top>
      <bottom style="thick">
        <color theme="0" tint="-4.9989318521683403E-2"/>
      </bottom>
      <diagonal/>
    </border>
    <border>
      <left style="thick">
        <color theme="1" tint="0.499984740745262"/>
      </left>
      <right/>
      <top style="thick">
        <color theme="1" tint="0.499984740745262"/>
      </top>
      <bottom style="thick">
        <color theme="0" tint="-4.9989318521683403E-2"/>
      </bottom>
      <diagonal/>
    </border>
    <border>
      <left/>
      <right/>
      <top style="thick">
        <color theme="1" tint="0.499984740745262"/>
      </top>
      <bottom style="thick">
        <color theme="0" tint="-4.9989318521683403E-2"/>
      </bottom>
      <diagonal/>
    </border>
    <border>
      <left/>
      <right style="thick">
        <color theme="0" tint="-4.9989318521683403E-2"/>
      </right>
      <top style="thick">
        <color theme="1" tint="0.499984740745262"/>
      </top>
      <bottom style="thick">
        <color theme="0" tint="-4.9989318521683403E-2"/>
      </bottom>
      <diagonal/>
    </border>
    <border>
      <left/>
      <right/>
      <top style="thin">
        <color theme="0"/>
      </top>
      <bottom/>
      <diagonal/>
    </border>
    <border>
      <left/>
      <right style="thick">
        <color theme="1" tint="0.249977111117893"/>
      </right>
      <top style="thick">
        <color theme="1" tint="0.249977111117893"/>
      </top>
      <bottom/>
      <diagonal/>
    </border>
    <border>
      <left/>
      <right style="thick">
        <color theme="1" tint="0.249977111117893"/>
      </right>
      <top/>
      <bottom/>
      <diagonal/>
    </border>
  </borders>
  <cellStyleXfs count="14">
    <xf numFmtId="0" fontId="0" fillId="0" borderId="0"/>
    <xf numFmtId="164"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9" fillId="5" borderId="0" applyNumberFormat="0" applyBorder="0" applyAlignment="0" applyProtection="0"/>
    <xf numFmtId="0" fontId="40" fillId="0" borderId="0" applyNumberFormat="0" applyFill="0" applyBorder="0" applyAlignment="0" applyProtection="0"/>
    <xf numFmtId="0" fontId="52" fillId="0" borderId="77" applyNumberFormat="0" applyFill="0" applyAlignment="0" applyProtection="0"/>
    <xf numFmtId="0" fontId="52" fillId="0" borderId="0" applyNumberFormat="0" applyFill="0" applyBorder="0" applyAlignment="0" applyProtection="0"/>
    <xf numFmtId="0" fontId="54" fillId="0" borderId="80">
      <alignment horizontal="left" vertical="center"/>
    </xf>
    <xf numFmtId="9" fontId="4" fillId="0" borderId="0" applyFont="0" applyFill="0" applyBorder="0" applyAlignment="0" applyProtection="0"/>
    <xf numFmtId="165" fontId="36" fillId="9" borderId="85">
      <alignment horizontal="center" vertical="center"/>
    </xf>
    <xf numFmtId="0" fontId="126" fillId="23" borderId="0" applyNumberFormat="0" applyBorder="0" applyAlignment="0" applyProtection="0"/>
    <xf numFmtId="0" fontId="47" fillId="0" borderId="0" applyNumberFormat="0" applyFill="0" applyBorder="0" applyAlignment="0" applyProtection="0"/>
  </cellStyleXfs>
  <cellXfs count="668">
    <xf numFmtId="0" fontId="0" fillId="0" borderId="0" xfId="0"/>
    <xf numFmtId="0" fontId="1" fillId="0" borderId="0" xfId="0" applyFont="1"/>
    <xf numFmtId="0" fontId="0" fillId="3" borderId="0" xfId="0" applyFill="1"/>
    <xf numFmtId="0" fontId="0" fillId="4" borderId="0" xfId="0" applyFill="1"/>
    <xf numFmtId="0" fontId="0" fillId="0" borderId="10" xfId="0" applyBorder="1"/>
    <xf numFmtId="0" fontId="0" fillId="6" borderId="0" xfId="0" applyFill="1"/>
    <xf numFmtId="0" fontId="0" fillId="6" borderId="8" xfId="0" applyFill="1" applyBorder="1"/>
    <xf numFmtId="0" fontId="0" fillId="7" borderId="5" xfId="0" applyFill="1" applyBorder="1"/>
    <xf numFmtId="0" fontId="0" fillId="7" borderId="6" xfId="0" applyFill="1" applyBorder="1"/>
    <xf numFmtId="165" fontId="0" fillId="7" borderId="5" xfId="1" applyNumberFormat="1" applyFont="1" applyFill="1" applyBorder="1"/>
    <xf numFmtId="0" fontId="0" fillId="7" borderId="0" xfId="0" applyFill="1"/>
    <xf numFmtId="0" fontId="0" fillId="7" borderId="8" xfId="0" applyFill="1" applyBorder="1"/>
    <xf numFmtId="0" fontId="0" fillId="0" borderId="0" xfId="0" applyAlignment="1">
      <alignment vertical="center"/>
    </xf>
    <xf numFmtId="0" fontId="0" fillId="0" borderId="0" xfId="0" applyAlignment="1">
      <alignment wrapText="1"/>
    </xf>
    <xf numFmtId="0" fontId="0" fillId="8" borderId="0" xfId="0" applyFill="1"/>
    <xf numFmtId="0" fontId="0" fillId="8" borderId="0" xfId="0" applyFill="1" applyAlignment="1">
      <alignment vertical="center"/>
    </xf>
    <xf numFmtId="0" fontId="15" fillId="7" borderId="0" xfId="0" applyFont="1" applyFill="1"/>
    <xf numFmtId="0" fontId="0" fillId="6" borderId="0" xfId="0" applyFill="1" applyAlignment="1">
      <alignment wrapText="1"/>
    </xf>
    <xf numFmtId="0" fontId="15" fillId="6" borderId="0" xfId="0" applyFont="1" applyFill="1"/>
    <xf numFmtId="166" fontId="0" fillId="6" borderId="0" xfId="0" applyNumberFormat="1" applyFill="1"/>
    <xf numFmtId="0" fontId="0" fillId="6" borderId="10" xfId="0" applyFill="1" applyBorder="1"/>
    <xf numFmtId="0" fontId="0" fillId="6" borderId="11" xfId="0" applyFill="1" applyBorder="1"/>
    <xf numFmtId="0" fontId="3" fillId="7" borderId="4" xfId="0" applyFont="1" applyFill="1" applyBorder="1" applyAlignment="1">
      <alignment horizontal="center"/>
    </xf>
    <xf numFmtId="0" fontId="0" fillId="9" borderId="0" xfId="0" applyFill="1"/>
    <xf numFmtId="0" fontId="3" fillId="7" borderId="7" xfId="0" applyFont="1" applyFill="1" applyBorder="1" applyAlignment="1">
      <alignment vertical="center"/>
    </xf>
    <xf numFmtId="165" fontId="0" fillId="7" borderId="0" xfId="1" applyNumberFormat="1" applyFont="1" applyFill="1" applyBorder="1"/>
    <xf numFmtId="0" fontId="14" fillId="6" borderId="7" xfId="0" applyFont="1" applyFill="1" applyBorder="1" applyAlignment="1">
      <alignment horizontal="center" vertical="center"/>
    </xf>
    <xf numFmtId="0" fontId="0" fillId="6" borderId="7" xfId="0" applyFill="1" applyBorder="1"/>
    <xf numFmtId="165" fontId="0" fillId="6" borderId="0" xfId="1" applyNumberFormat="1" applyFont="1" applyFill="1" applyBorder="1"/>
    <xf numFmtId="0" fontId="0" fillId="4" borderId="16" xfId="0" applyFill="1" applyBorder="1"/>
    <xf numFmtId="0" fontId="11" fillId="7" borderId="5" xfId="5" applyFont="1" applyFill="1" applyBorder="1" applyAlignment="1"/>
    <xf numFmtId="0" fontId="10" fillId="7" borderId="4" xfId="0" applyFont="1" applyFill="1" applyBorder="1"/>
    <xf numFmtId="0" fontId="11" fillId="7" borderId="6" xfId="5" applyFont="1" applyFill="1" applyBorder="1" applyAlignment="1"/>
    <xf numFmtId="0" fontId="10" fillId="7" borderId="5" xfId="5" applyFont="1" applyFill="1" applyBorder="1" applyAlignment="1"/>
    <xf numFmtId="0" fontId="12" fillId="4" borderId="0" xfId="0" applyFont="1" applyFill="1"/>
    <xf numFmtId="0" fontId="12" fillId="0" borderId="0" xfId="0" applyFont="1"/>
    <xf numFmtId="0" fontId="17" fillId="0" borderId="0" xfId="0" applyFont="1" applyAlignment="1">
      <alignment vertical="center"/>
    </xf>
    <xf numFmtId="0" fontId="0" fillId="0" borderId="0" xfId="0"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7" borderId="4" xfId="0" applyFont="1" applyFill="1" applyBorder="1" applyAlignment="1">
      <alignment horizontal="center"/>
    </xf>
    <xf numFmtId="0" fontId="3" fillId="6" borderId="7" xfId="0" applyFont="1" applyFill="1" applyBorder="1" applyAlignment="1">
      <alignment horizontal="center" vertical="center"/>
    </xf>
    <xf numFmtId="0" fontId="0" fillId="4" borderId="0" xfId="0" applyFill="1" applyAlignment="1">
      <alignment vertical="center"/>
    </xf>
    <xf numFmtId="0" fontId="1" fillId="7" borderId="0" xfId="0" applyFont="1" applyFill="1"/>
    <xf numFmtId="0" fontId="0" fillId="6" borderId="17" xfId="0" applyFill="1" applyBorder="1"/>
    <xf numFmtId="0" fontId="3" fillId="6" borderId="7" xfId="0" applyFont="1" applyFill="1" applyBorder="1" applyAlignment="1">
      <alignment vertical="center"/>
    </xf>
    <xf numFmtId="0" fontId="1" fillId="6" borderId="0" xfId="0" applyFont="1" applyFill="1"/>
    <xf numFmtId="165" fontId="0" fillId="13" borderId="0" xfId="1" applyNumberFormat="1" applyFont="1" applyFill="1" applyBorder="1"/>
    <xf numFmtId="0" fontId="0" fillId="13" borderId="0" xfId="0" applyFill="1"/>
    <xf numFmtId="0" fontId="0" fillId="13" borderId="8" xfId="0" applyFill="1" applyBorder="1"/>
    <xf numFmtId="0" fontId="14" fillId="13" borderId="7" xfId="0" applyFont="1" applyFill="1" applyBorder="1" applyAlignment="1">
      <alignment horizontal="center" vertical="center"/>
    </xf>
    <xf numFmtId="0" fontId="15" fillId="13" borderId="0" xfId="0" applyFont="1" applyFill="1"/>
    <xf numFmtId="0" fontId="14" fillId="7" borderId="7" xfId="0" applyFont="1" applyFill="1" applyBorder="1" applyAlignment="1">
      <alignment horizontal="center" vertical="center"/>
    </xf>
    <xf numFmtId="0" fontId="0" fillId="6" borderId="16" xfId="0" applyFill="1" applyBorder="1"/>
    <xf numFmtId="0" fontId="3" fillId="6" borderId="0" xfId="0" applyFont="1" applyFill="1" applyAlignment="1">
      <alignment vertical="center"/>
    </xf>
    <xf numFmtId="0" fontId="1" fillId="6" borderId="9" xfId="0" applyFont="1" applyFill="1" applyBorder="1"/>
    <xf numFmtId="0" fontId="1" fillId="6" borderId="10" xfId="0" applyFont="1" applyFill="1" applyBorder="1"/>
    <xf numFmtId="2" fontId="3" fillId="2" borderId="12" xfId="0" applyNumberFormat="1"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0" fillId="0" borderId="0" xfId="0" applyAlignment="1">
      <alignment horizontal="center" vertical="center" wrapText="1"/>
    </xf>
    <xf numFmtId="167" fontId="0" fillId="0" borderId="0" xfId="0" applyNumberFormat="1" applyAlignment="1">
      <alignment wrapText="1"/>
    </xf>
    <xf numFmtId="0" fontId="8" fillId="11" borderId="18" xfId="0" applyFont="1" applyFill="1" applyBorder="1" applyAlignment="1">
      <alignment horizontal="center" vertical="center" wrapText="1"/>
    </xf>
    <xf numFmtId="167" fontId="0" fillId="12" borderId="0" xfId="0" applyNumberFormat="1" applyFill="1" applyAlignment="1">
      <alignment wrapText="1"/>
    </xf>
    <xf numFmtId="167" fontId="0" fillId="12" borderId="19" xfId="0" applyNumberFormat="1" applyFill="1" applyBorder="1" applyAlignment="1">
      <alignment wrapText="1"/>
    </xf>
    <xf numFmtId="0" fontId="10" fillId="7" borderId="7" xfId="0" applyFont="1" applyFill="1" applyBorder="1"/>
    <xf numFmtId="0" fontId="10" fillId="7" borderId="0" xfId="5" applyFont="1" applyFill="1" applyBorder="1" applyAlignment="1"/>
    <xf numFmtId="0" fontId="3" fillId="6" borderId="9" xfId="0" applyFont="1" applyFill="1" applyBorder="1" applyAlignment="1">
      <alignment horizontal="center" vertical="center"/>
    </xf>
    <xf numFmtId="0" fontId="0" fillId="6" borderId="10" xfId="0" applyFill="1" applyBorder="1" applyAlignment="1">
      <alignment vertical="center"/>
    </xf>
    <xf numFmtId="0" fontId="0" fillId="6" borderId="11" xfId="0" applyFill="1" applyBorder="1" applyAlignment="1">
      <alignment vertical="center"/>
    </xf>
    <xf numFmtId="0" fontId="15" fillId="7" borderId="8" xfId="0" applyFont="1" applyFill="1" applyBorder="1"/>
    <xf numFmtId="0" fontId="0" fillId="6" borderId="9" xfId="0" applyFill="1" applyBorder="1" applyAlignment="1">
      <alignment vertical="center"/>
    </xf>
    <xf numFmtId="0" fontId="15" fillId="7" borderId="7" xfId="0" applyFont="1" applyFill="1" applyBorder="1" applyAlignment="1">
      <alignment horizontal="left" vertical="center"/>
    </xf>
    <xf numFmtId="0" fontId="14" fillId="6" borderId="7" xfId="0" applyFont="1" applyFill="1" applyBorder="1" applyAlignment="1">
      <alignment horizontal="right" vertical="center"/>
    </xf>
    <xf numFmtId="0" fontId="0" fillId="6" borderId="7" xfId="0" applyFill="1" applyBorder="1" applyAlignment="1">
      <alignment horizontal="right"/>
    </xf>
    <xf numFmtId="164" fontId="3" fillId="2" borderId="12" xfId="1" applyFont="1" applyFill="1" applyBorder="1" applyAlignment="1">
      <alignment vertical="center"/>
    </xf>
    <xf numFmtId="0" fontId="14" fillId="6" borderId="15" xfId="0" applyFont="1" applyFill="1" applyBorder="1" applyAlignment="1">
      <alignment horizontal="right" vertical="center"/>
    </xf>
    <xf numFmtId="0" fontId="22" fillId="7" borderId="0" xfId="0" applyFont="1" applyFill="1"/>
    <xf numFmtId="0" fontId="0" fillId="9" borderId="5" xfId="0" applyFill="1" applyBorder="1"/>
    <xf numFmtId="0" fontId="12" fillId="9" borderId="0" xfId="0" applyFont="1" applyFill="1"/>
    <xf numFmtId="0" fontId="0" fillId="9" borderId="0" xfId="0" applyFill="1" applyAlignment="1">
      <alignment vertical="center"/>
    </xf>
    <xf numFmtId="0" fontId="1" fillId="9" borderId="0" xfId="0" applyFont="1" applyFill="1"/>
    <xf numFmtId="0" fontId="13" fillId="0" borderId="0" xfId="0" applyFont="1" applyAlignment="1">
      <alignment horizontal="left" vertical="center" wrapText="1"/>
    </xf>
    <xf numFmtId="0" fontId="0" fillId="0" borderId="16" xfId="0" applyBorder="1"/>
    <xf numFmtId="0" fontId="17" fillId="0" borderId="16" xfId="0" applyFont="1" applyBorder="1" applyAlignment="1">
      <alignment horizontal="center" vertical="center"/>
    </xf>
    <xf numFmtId="0" fontId="0" fillId="0" borderId="21" xfId="0" applyBorder="1"/>
    <xf numFmtId="0" fontId="17" fillId="0" borderId="21" xfId="0" applyFont="1" applyBorder="1" applyAlignment="1">
      <alignment horizontal="center" vertical="center"/>
    </xf>
    <xf numFmtId="0" fontId="17" fillId="0" borderId="10" xfId="0" applyFont="1" applyBorder="1" applyAlignment="1">
      <alignment horizontal="center" vertical="center"/>
    </xf>
    <xf numFmtId="0" fontId="24" fillId="0" borderId="0" xfId="0" applyFont="1" applyAlignment="1">
      <alignment horizontal="center" vertical="center" wrapText="1"/>
    </xf>
    <xf numFmtId="2" fontId="1" fillId="15" borderId="23" xfId="0" applyNumberFormat="1" applyFont="1" applyFill="1" applyBorder="1"/>
    <xf numFmtId="0" fontId="3" fillId="15" borderId="24" xfId="0" applyFont="1" applyFill="1" applyBorder="1" applyAlignment="1">
      <alignment vertical="center"/>
    </xf>
    <xf numFmtId="0" fontId="3" fillId="15" borderId="25" xfId="0" applyFont="1" applyFill="1" applyBorder="1" applyAlignment="1">
      <alignment vertical="center"/>
    </xf>
    <xf numFmtId="0" fontId="0" fillId="16" borderId="0" xfId="0" applyFill="1"/>
    <xf numFmtId="0" fontId="10" fillId="13" borderId="4" xfId="0" applyFont="1" applyFill="1" applyBorder="1" applyAlignment="1">
      <alignment horizontal="center"/>
    </xf>
    <xf numFmtId="0" fontId="10" fillId="13" borderId="5" xfId="5" applyFont="1" applyFill="1" applyBorder="1" applyAlignment="1"/>
    <xf numFmtId="0" fontId="11" fillId="13" borderId="5" xfId="5" applyFont="1" applyFill="1" applyBorder="1" applyAlignment="1"/>
    <xf numFmtId="0" fontId="11" fillId="13" borderId="6" xfId="5" applyFont="1" applyFill="1" applyBorder="1" applyAlignment="1"/>
    <xf numFmtId="0" fontId="3" fillId="13" borderId="7" xfId="0" applyFont="1" applyFill="1" applyBorder="1" applyAlignment="1">
      <alignment vertical="center"/>
    </xf>
    <xf numFmtId="0" fontId="26" fillId="13" borderId="0" xfId="0" applyFont="1" applyFill="1"/>
    <xf numFmtId="0" fontId="1" fillId="13" borderId="0" xfId="0" applyFont="1" applyFill="1"/>
    <xf numFmtId="0" fontId="0" fillId="13" borderId="7" xfId="0" applyFill="1" applyBorder="1"/>
    <xf numFmtId="0" fontId="10" fillId="13" borderId="5" xfId="5" applyFont="1" applyFill="1" applyBorder="1" applyAlignment="1">
      <alignment horizontal="left"/>
    </xf>
    <xf numFmtId="165" fontId="0" fillId="13" borderId="5" xfId="1" applyNumberFormat="1" applyFont="1" applyFill="1" applyBorder="1"/>
    <xf numFmtId="0" fontId="0" fillId="13" borderId="5" xfId="0" applyFill="1" applyBorder="1"/>
    <xf numFmtId="0" fontId="0" fillId="13" borderId="6" xfId="0" applyFill="1" applyBorder="1"/>
    <xf numFmtId="0" fontId="10" fillId="13" borderId="7" xfId="0" applyFont="1" applyFill="1" applyBorder="1" applyAlignment="1">
      <alignment horizontal="center"/>
    </xf>
    <xf numFmtId="0" fontId="10" fillId="13" borderId="0" xfId="5" applyFont="1" applyFill="1" applyBorder="1" applyAlignment="1">
      <alignment horizontal="center"/>
    </xf>
    <xf numFmtId="0" fontId="15" fillId="13" borderId="8" xfId="0" applyFont="1" applyFill="1" applyBorder="1"/>
    <xf numFmtId="0" fontId="3" fillId="16" borderId="7" xfId="0" applyFont="1" applyFill="1" applyBorder="1" applyAlignment="1">
      <alignment vertical="center"/>
    </xf>
    <xf numFmtId="165" fontId="0" fillId="16" borderId="0" xfId="1" applyNumberFormat="1" applyFont="1" applyFill="1" applyBorder="1"/>
    <xf numFmtId="0" fontId="0" fillId="16" borderId="8" xfId="0" applyFill="1" applyBorder="1"/>
    <xf numFmtId="0" fontId="1" fillId="16" borderId="0" xfId="0" applyFont="1" applyFill="1"/>
    <xf numFmtId="0" fontId="0" fillId="16" borderId="7" xfId="0" applyFill="1" applyBorder="1"/>
    <xf numFmtId="0" fontId="14" fillId="16" borderId="7" xfId="0" applyFont="1" applyFill="1" applyBorder="1" applyAlignment="1">
      <alignment horizontal="center" vertical="center"/>
    </xf>
    <xf numFmtId="0" fontId="15" fillId="16" borderId="0" xfId="0" applyFont="1" applyFill="1"/>
    <xf numFmtId="0" fontId="14" fillId="16" borderId="7" xfId="0" applyFont="1" applyFill="1" applyBorder="1" applyAlignment="1">
      <alignment horizontal="right" vertical="center"/>
    </xf>
    <xf numFmtId="0" fontId="0" fillId="16" borderId="0" xfId="0" applyFill="1" applyAlignment="1">
      <alignment wrapText="1"/>
    </xf>
    <xf numFmtId="0" fontId="24" fillId="16" borderId="7" xfId="0" applyFont="1" applyFill="1" applyBorder="1" applyAlignment="1">
      <alignment horizontal="center" vertical="center"/>
    </xf>
    <xf numFmtId="0" fontId="3" fillId="16" borderId="0" xfId="0" applyFont="1" applyFill="1" applyAlignment="1">
      <alignment vertical="center"/>
    </xf>
    <xf numFmtId="0" fontId="3" fillId="16" borderId="9" xfId="0" applyFont="1" applyFill="1" applyBorder="1" applyAlignment="1">
      <alignment horizontal="center" vertical="center"/>
    </xf>
    <xf numFmtId="0" fontId="0" fillId="16" borderId="10" xfId="0" applyFill="1" applyBorder="1"/>
    <xf numFmtId="0" fontId="0" fillId="16" borderId="11" xfId="0" applyFill="1" applyBorder="1"/>
    <xf numFmtId="0" fontId="1" fillId="16" borderId="7" xfId="0" applyFont="1" applyFill="1" applyBorder="1"/>
    <xf numFmtId="0" fontId="1" fillId="16" borderId="9" xfId="0" applyFont="1" applyFill="1" applyBorder="1"/>
    <xf numFmtId="0" fontId="1" fillId="16" borderId="10" xfId="0" applyFont="1" applyFill="1" applyBorder="1"/>
    <xf numFmtId="0" fontId="1" fillId="16" borderId="11" xfId="0" applyFont="1" applyFill="1" applyBorder="1"/>
    <xf numFmtId="0" fontId="0" fillId="16" borderId="11" xfId="0" applyFill="1" applyBorder="1" applyAlignment="1">
      <alignment vertical="center"/>
    </xf>
    <xf numFmtId="0" fontId="0" fillId="16" borderId="10" xfId="0" applyFill="1" applyBorder="1" applyAlignment="1">
      <alignment vertical="center"/>
    </xf>
    <xf numFmtId="0" fontId="26" fillId="7" borderId="0" xfId="0" applyFont="1" applyFill="1" applyAlignment="1">
      <alignment horizontal="left"/>
    </xf>
    <xf numFmtId="0" fontId="32" fillId="7" borderId="0" xfId="0" applyFont="1" applyFill="1" applyAlignment="1">
      <alignment horizontal="center"/>
    </xf>
    <xf numFmtId="0" fontId="0" fillId="16" borderId="0" xfId="0" applyFill="1" applyAlignment="1">
      <alignment vertical="center"/>
    </xf>
    <xf numFmtId="0" fontId="14" fillId="16" borderId="7" xfId="0" applyFont="1" applyFill="1" applyBorder="1" applyAlignment="1">
      <alignment horizontal="right"/>
    </xf>
    <xf numFmtId="0" fontId="12" fillId="8" borderId="0" xfId="0" applyFont="1" applyFill="1"/>
    <xf numFmtId="0" fontId="17" fillId="9" borderId="0" xfId="0" applyFont="1" applyFill="1" applyAlignment="1">
      <alignment horizontal="left" vertical="center" indent="3"/>
    </xf>
    <xf numFmtId="2" fontId="1" fillId="15" borderId="23" xfId="0" applyNumberFormat="1" applyFont="1" applyFill="1" applyBorder="1" applyAlignment="1">
      <alignment vertical="center"/>
    </xf>
    <xf numFmtId="2" fontId="1" fillId="2" borderId="12" xfId="0" applyNumberFormat="1" applyFont="1" applyFill="1" applyBorder="1" applyAlignment="1">
      <alignment vertical="center"/>
    </xf>
    <xf numFmtId="0" fontId="34" fillId="13" borderId="7" xfId="0" applyFont="1" applyFill="1" applyBorder="1" applyAlignment="1">
      <alignment horizontal="left"/>
    </xf>
    <xf numFmtId="0" fontId="17" fillId="9" borderId="0" xfId="0" applyFont="1" applyFill="1" applyAlignment="1">
      <alignment vertical="center"/>
    </xf>
    <xf numFmtId="0" fontId="0" fillId="17" borderId="0" xfId="0" applyFill="1" applyAlignment="1">
      <alignment vertical="center"/>
    </xf>
    <xf numFmtId="0" fontId="15" fillId="17" borderId="0" xfId="0" applyFont="1" applyFill="1" applyAlignment="1">
      <alignment vertical="center"/>
    </xf>
    <xf numFmtId="0" fontId="15" fillId="9" borderId="0" xfId="0" applyFont="1" applyFill="1" applyAlignment="1">
      <alignment vertical="center"/>
    </xf>
    <xf numFmtId="0" fontId="0" fillId="17" borderId="5" xfId="0" applyFill="1" applyBorder="1" applyAlignment="1">
      <alignment vertical="center"/>
    </xf>
    <xf numFmtId="0" fontId="15" fillId="17" borderId="5" xfId="0" applyFont="1" applyFill="1" applyBorder="1" applyAlignment="1">
      <alignment vertical="center"/>
    </xf>
    <xf numFmtId="2" fontId="0" fillId="6" borderId="44" xfId="0" applyNumberFormat="1" applyFill="1" applyBorder="1" applyAlignment="1">
      <alignment vertical="center"/>
    </xf>
    <xf numFmtId="2" fontId="0" fillId="6" borderId="23" xfId="0" applyNumberFormat="1" applyFill="1" applyBorder="1" applyAlignment="1">
      <alignment vertical="center"/>
    </xf>
    <xf numFmtId="2" fontId="0" fillId="6" borderId="27" xfId="0" applyNumberFormat="1" applyFill="1" applyBorder="1" applyAlignment="1">
      <alignment vertical="center"/>
    </xf>
    <xf numFmtId="2" fontId="0" fillId="6" borderId="45" xfId="0" applyNumberFormat="1" applyFill="1" applyBorder="1" applyAlignment="1">
      <alignment vertical="center"/>
    </xf>
    <xf numFmtId="2" fontId="0" fillId="6" borderId="25" xfId="0" applyNumberFormat="1" applyFill="1" applyBorder="1" applyAlignment="1">
      <alignment vertical="center"/>
    </xf>
    <xf numFmtId="2" fontId="0" fillId="6" borderId="22" xfId="0" applyNumberFormat="1" applyFill="1" applyBorder="1" applyAlignment="1">
      <alignment vertical="center"/>
    </xf>
    <xf numFmtId="2" fontId="0" fillId="16" borderId="39" xfId="0" applyNumberFormat="1" applyFill="1" applyBorder="1" applyAlignment="1">
      <alignment vertical="center"/>
    </xf>
    <xf numFmtId="2" fontId="0" fillId="16" borderId="40" xfId="0" applyNumberFormat="1" applyFill="1" applyBorder="1" applyAlignment="1">
      <alignment vertical="center"/>
    </xf>
    <xf numFmtId="0" fontId="15" fillId="9" borderId="0" xfId="0" applyFont="1" applyFill="1" applyAlignment="1">
      <alignment horizontal="center"/>
    </xf>
    <xf numFmtId="0" fontId="33" fillId="9" borderId="0" xfId="0" applyFont="1" applyFill="1" applyAlignment="1">
      <alignment horizontal="center" vertical="center"/>
    </xf>
    <xf numFmtId="0" fontId="15" fillId="9" borderId="31" xfId="0" applyFont="1" applyFill="1" applyBorder="1" applyAlignment="1">
      <alignment vertical="center"/>
    </xf>
    <xf numFmtId="0" fontId="15" fillId="9" borderId="32" xfId="0" applyFont="1" applyFill="1" applyBorder="1" applyAlignment="1">
      <alignment vertical="center"/>
    </xf>
    <xf numFmtId="0" fontId="1" fillId="9" borderId="24" xfId="0" applyFont="1" applyFill="1" applyBorder="1" applyAlignment="1">
      <alignment vertical="center"/>
    </xf>
    <xf numFmtId="0" fontId="15" fillId="9" borderId="24" xfId="0" applyFont="1" applyFill="1" applyBorder="1" applyAlignment="1">
      <alignment horizontal="center" vertical="center"/>
    </xf>
    <xf numFmtId="0" fontId="15" fillId="9" borderId="25" xfId="0" applyFont="1" applyFill="1" applyBorder="1" applyAlignment="1">
      <alignment vertical="center"/>
    </xf>
    <xf numFmtId="0" fontId="0" fillId="9" borderId="5" xfId="0" applyFill="1" applyBorder="1" applyAlignment="1">
      <alignment vertical="center"/>
    </xf>
    <xf numFmtId="0" fontId="0" fillId="9" borderId="24" xfId="0" applyFill="1" applyBorder="1" applyAlignment="1">
      <alignment vertical="center"/>
    </xf>
    <xf numFmtId="2" fontId="0" fillId="9" borderId="24" xfId="0" applyNumberFormat="1" applyFill="1" applyBorder="1" applyAlignment="1">
      <alignment vertical="center"/>
    </xf>
    <xf numFmtId="2" fontId="0" fillId="6" borderId="32" xfId="0" applyNumberFormat="1" applyFill="1" applyBorder="1" applyAlignment="1">
      <alignment vertical="center"/>
    </xf>
    <xf numFmtId="2" fontId="0" fillId="16" borderId="46" xfId="0" applyNumberFormat="1" applyFill="1" applyBorder="1" applyAlignment="1">
      <alignment vertical="center"/>
    </xf>
    <xf numFmtId="2" fontId="0" fillId="6" borderId="47" xfId="0" applyNumberFormat="1" applyFill="1" applyBorder="1" applyAlignment="1">
      <alignment vertical="center"/>
    </xf>
    <xf numFmtId="2" fontId="0" fillId="16" borderId="42" xfId="0" applyNumberFormat="1" applyFill="1" applyBorder="1" applyAlignment="1">
      <alignment vertical="center"/>
    </xf>
    <xf numFmtId="0" fontId="0" fillId="7" borderId="7" xfId="0" applyFill="1" applyBorder="1" applyAlignment="1">
      <alignment horizontal="center" vertical="center" wrapText="1"/>
    </xf>
    <xf numFmtId="0" fontId="0" fillId="7" borderId="7" xfId="0" applyFill="1" applyBorder="1" applyAlignment="1">
      <alignment horizontal="center" vertical="center"/>
    </xf>
    <xf numFmtId="0" fontId="0" fillId="13" borderId="0" xfId="0" applyFill="1" applyAlignment="1">
      <alignment horizontal="center" vertical="center"/>
    </xf>
    <xf numFmtId="0" fontId="0" fillId="13" borderId="0" xfId="0" applyFill="1" applyAlignment="1">
      <alignment horizontal="center" vertical="center" wrapText="1"/>
    </xf>
    <xf numFmtId="0" fontId="0" fillId="10" borderId="0" xfId="0" applyFill="1"/>
    <xf numFmtId="0" fontId="1" fillId="9" borderId="23" xfId="0" applyFont="1" applyFill="1" applyBorder="1" applyAlignment="1">
      <alignment vertical="center"/>
    </xf>
    <xf numFmtId="0" fontId="0" fillId="9" borderId="36" xfId="0" applyFill="1" applyBorder="1" applyAlignment="1">
      <alignment vertical="center"/>
    </xf>
    <xf numFmtId="0" fontId="0" fillId="9" borderId="48" xfId="0" applyFill="1" applyBorder="1" applyAlignment="1">
      <alignment vertical="center"/>
    </xf>
    <xf numFmtId="0" fontId="15" fillId="9" borderId="5" xfId="0" applyFont="1" applyFill="1" applyBorder="1" applyAlignment="1">
      <alignment horizontal="center"/>
    </xf>
    <xf numFmtId="0" fontId="1" fillId="9" borderId="49" xfId="0" applyFont="1" applyFill="1" applyBorder="1" applyAlignment="1">
      <alignment vertical="center"/>
    </xf>
    <xf numFmtId="2" fontId="1" fillId="9" borderId="20" xfId="0" applyNumberFormat="1" applyFont="1" applyFill="1" applyBorder="1" applyAlignment="1">
      <alignment vertical="center"/>
    </xf>
    <xf numFmtId="0" fontId="1" fillId="9" borderId="20" xfId="0" applyFont="1" applyFill="1" applyBorder="1" applyAlignment="1">
      <alignment vertical="center"/>
    </xf>
    <xf numFmtId="0" fontId="21" fillId="9" borderId="20" xfId="0" applyFont="1" applyFill="1" applyBorder="1" applyAlignment="1">
      <alignment horizontal="center" vertical="center"/>
    </xf>
    <xf numFmtId="0" fontId="21" fillId="9" borderId="47" xfId="0" applyFont="1" applyFill="1" applyBorder="1" applyAlignment="1">
      <alignment vertical="center"/>
    </xf>
    <xf numFmtId="2" fontId="1" fillId="7" borderId="47" xfId="0" applyNumberFormat="1" applyFont="1" applyFill="1" applyBorder="1" applyAlignment="1">
      <alignment vertical="center"/>
    </xf>
    <xf numFmtId="2" fontId="1" fillId="13" borderId="42" xfId="0" applyNumberFormat="1" applyFont="1" applyFill="1" applyBorder="1" applyAlignment="1">
      <alignment vertical="center"/>
    </xf>
    <xf numFmtId="2" fontId="0" fillId="6" borderId="41" xfId="0" applyNumberFormat="1" applyFill="1" applyBorder="1" applyAlignment="1">
      <alignment vertical="center"/>
    </xf>
    <xf numFmtId="2" fontId="0" fillId="6" borderId="38" xfId="0" applyNumberFormat="1" applyFill="1" applyBorder="1" applyAlignment="1">
      <alignment vertical="center"/>
    </xf>
    <xf numFmtId="0" fontId="1" fillId="7" borderId="28" xfId="0" applyFont="1" applyFill="1" applyBorder="1" applyAlignment="1">
      <alignment horizontal="center" vertical="center"/>
    </xf>
    <xf numFmtId="0" fontId="1" fillId="13" borderId="43" xfId="0" applyFont="1" applyFill="1" applyBorder="1" applyAlignment="1">
      <alignment horizontal="center" vertical="center"/>
    </xf>
    <xf numFmtId="0" fontId="37" fillId="0" borderId="0" xfId="0" applyFont="1" applyAlignment="1">
      <alignment horizontal="center"/>
    </xf>
    <xf numFmtId="0" fontId="0" fillId="0" borderId="0" xfId="0" applyAlignment="1">
      <alignment horizontal="center"/>
    </xf>
    <xf numFmtId="0" fontId="38" fillId="0" borderId="0" xfId="0" applyFont="1" applyAlignment="1">
      <alignment horizontal="left"/>
    </xf>
    <xf numFmtId="0" fontId="37" fillId="0" borderId="0" xfId="0" applyFont="1"/>
    <xf numFmtId="0" fontId="0" fillId="0" borderId="23" xfId="0" applyBorder="1"/>
    <xf numFmtId="0" fontId="38" fillId="0" borderId="24" xfId="0" applyFont="1" applyBorder="1"/>
    <xf numFmtId="0" fontId="0" fillId="0" borderId="24" xfId="0" applyBorder="1"/>
    <xf numFmtId="0" fontId="0" fillId="0" borderId="25" xfId="0" applyBorder="1"/>
    <xf numFmtId="0" fontId="38" fillId="0" borderId="27" xfId="0" applyFont="1" applyBorder="1"/>
    <xf numFmtId="0" fontId="0" fillId="0" borderId="33" xfId="0" applyBorder="1"/>
    <xf numFmtId="0" fontId="38" fillId="0" borderId="22" xfId="0" applyFont="1" applyBorder="1" applyAlignment="1">
      <alignment horizontal="center"/>
    </xf>
    <xf numFmtId="0" fontId="38" fillId="0" borderId="34" xfId="0" applyFont="1" applyBorder="1"/>
    <xf numFmtId="0" fontId="0" fillId="0" borderId="32" xfId="0" applyBorder="1"/>
    <xf numFmtId="0" fontId="0" fillId="0" borderId="28" xfId="0" applyBorder="1" applyAlignment="1">
      <alignment horizontal="center"/>
    </xf>
    <xf numFmtId="0" fontId="0" fillId="0" borderId="27" xfId="0" applyBorder="1"/>
    <xf numFmtId="0" fontId="0" fillId="0" borderId="30" xfId="0" applyBorder="1" applyAlignment="1">
      <alignment horizontal="center"/>
    </xf>
    <xf numFmtId="0" fontId="0" fillId="0" borderId="34" xfId="0" applyBorder="1"/>
    <xf numFmtId="0" fontId="0" fillId="0" borderId="48" xfId="0" applyBorder="1"/>
    <xf numFmtId="0" fontId="0" fillId="0" borderId="31" xfId="0" applyBorder="1"/>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9" xfId="0" applyBorder="1" applyAlignment="1">
      <alignment horizontal="center"/>
    </xf>
    <xf numFmtId="0" fontId="0" fillId="0" borderId="28" xfId="0" applyBorder="1"/>
    <xf numFmtId="0" fontId="0" fillId="0" borderId="29" xfId="0" applyBorder="1"/>
    <xf numFmtId="0" fontId="0" fillId="0" borderId="30" xfId="0" applyBorder="1"/>
    <xf numFmtId="0" fontId="0" fillId="0" borderId="22" xfId="0" applyBorder="1"/>
    <xf numFmtId="0" fontId="38" fillId="0" borderId="0" xfId="0" applyFont="1"/>
    <xf numFmtId="0" fontId="38" fillId="0" borderId="0" xfId="0" applyFont="1" applyAlignment="1">
      <alignment horizontal="center"/>
    </xf>
    <xf numFmtId="0" fontId="37" fillId="10" borderId="53" xfId="0" applyFont="1" applyFill="1" applyBorder="1" applyAlignment="1">
      <alignment horizontal="center"/>
    </xf>
    <xf numFmtId="0" fontId="0" fillId="10" borderId="54" xfId="0" applyFill="1" applyBorder="1"/>
    <xf numFmtId="0" fontId="37" fillId="10" borderId="54" xfId="0" applyFont="1" applyFill="1" applyBorder="1" applyAlignment="1">
      <alignment horizontal="center"/>
    </xf>
    <xf numFmtId="0" fontId="0" fillId="10" borderId="55" xfId="0" applyFill="1" applyBorder="1"/>
    <xf numFmtId="0" fontId="0" fillId="10" borderId="56" xfId="0" applyFill="1" applyBorder="1" applyAlignment="1">
      <alignment horizontal="center"/>
    </xf>
    <xf numFmtId="0" fontId="0" fillId="10" borderId="0" xfId="0" applyFill="1" applyAlignment="1">
      <alignment horizontal="center"/>
    </xf>
    <xf numFmtId="0" fontId="0" fillId="10" borderId="57" xfId="0" applyFill="1" applyBorder="1"/>
    <xf numFmtId="0" fontId="0" fillId="10" borderId="56" xfId="0" applyFill="1" applyBorder="1"/>
    <xf numFmtId="0" fontId="38" fillId="10" borderId="56" xfId="0" applyFont="1" applyFill="1" applyBorder="1" applyAlignment="1">
      <alignment horizontal="left"/>
    </xf>
    <xf numFmtId="0" fontId="37" fillId="10" borderId="56" xfId="0" applyFont="1" applyFill="1" applyBorder="1"/>
    <xf numFmtId="0" fontId="37" fillId="10" borderId="0" xfId="0" applyFont="1" applyFill="1" applyAlignment="1">
      <alignment horizontal="center"/>
    </xf>
    <xf numFmtId="0" fontId="0" fillId="10" borderId="58" xfId="0" applyFill="1" applyBorder="1"/>
    <xf numFmtId="0" fontId="38" fillId="10" borderId="24" xfId="0" applyFont="1" applyFill="1" applyBorder="1"/>
    <xf numFmtId="0" fontId="0" fillId="10" borderId="24" xfId="0" applyFill="1" applyBorder="1"/>
    <xf numFmtId="0" fontId="0" fillId="10" borderId="25" xfId="0" applyFill="1" applyBorder="1"/>
    <xf numFmtId="0" fontId="38" fillId="10" borderId="27" xfId="0" applyFont="1" applyFill="1" applyBorder="1"/>
    <xf numFmtId="0" fontId="0" fillId="10" borderId="33" xfId="0" applyFill="1" applyBorder="1"/>
    <xf numFmtId="0" fontId="38" fillId="10" borderId="59" xfId="0" applyFont="1" applyFill="1" applyBorder="1" applyAlignment="1">
      <alignment horizontal="center"/>
    </xf>
    <xf numFmtId="0" fontId="38" fillId="10" borderId="22" xfId="0" applyFont="1" applyFill="1" applyBorder="1" applyAlignment="1">
      <alignment horizontal="center"/>
    </xf>
    <xf numFmtId="0" fontId="38" fillId="10" borderId="34" xfId="0" applyFont="1" applyFill="1" applyBorder="1"/>
    <xf numFmtId="0" fontId="0" fillId="10" borderId="32" xfId="0" applyFill="1" applyBorder="1"/>
    <xf numFmtId="0" fontId="0" fillId="10" borderId="60" xfId="0" applyFill="1" applyBorder="1" applyAlignment="1">
      <alignment horizontal="center"/>
    </xf>
    <xf numFmtId="0" fontId="0" fillId="10" borderId="27" xfId="0" applyFill="1" applyBorder="1"/>
    <xf numFmtId="0" fontId="0" fillId="10" borderId="21" xfId="0" applyFill="1" applyBorder="1"/>
    <xf numFmtId="0" fontId="0" fillId="10" borderId="61" xfId="0" applyFill="1" applyBorder="1" applyAlignment="1">
      <alignment horizontal="center"/>
    </xf>
    <xf numFmtId="0" fontId="0" fillId="10" borderId="34" xfId="0" applyFill="1" applyBorder="1"/>
    <xf numFmtId="0" fontId="0" fillId="10" borderId="16" xfId="0" applyFill="1" applyBorder="1"/>
    <xf numFmtId="0" fontId="0" fillId="10" borderId="48" xfId="0" applyFill="1" applyBorder="1"/>
    <xf numFmtId="0" fontId="0" fillId="10" borderId="31" xfId="0" applyFill="1" applyBorder="1"/>
    <xf numFmtId="0" fontId="0" fillId="10" borderId="23" xfId="0" applyFill="1" applyBorder="1"/>
    <xf numFmtId="0" fontId="0" fillId="10" borderId="22" xfId="0" applyFill="1" applyBorder="1" applyAlignment="1">
      <alignment horizontal="center"/>
    </xf>
    <xf numFmtId="0" fontId="0" fillId="10" borderId="23" xfId="0" applyFill="1" applyBorder="1" applyAlignment="1">
      <alignment horizontal="center"/>
    </xf>
    <xf numFmtId="0" fontId="0" fillId="10" borderId="25" xfId="0" applyFill="1" applyBorder="1" applyAlignment="1">
      <alignment horizontal="center"/>
    </xf>
    <xf numFmtId="0" fontId="0" fillId="10" borderId="62" xfId="0" applyFill="1" applyBorder="1" applyAlignment="1">
      <alignment horizontal="center"/>
    </xf>
    <xf numFmtId="0" fontId="0" fillId="10" borderId="28" xfId="0" applyFill="1" applyBorder="1"/>
    <xf numFmtId="0" fontId="0" fillId="10" borderId="29" xfId="0" applyFill="1" applyBorder="1"/>
    <xf numFmtId="0" fontId="0" fillId="10" borderId="30" xfId="0" applyFill="1" applyBorder="1"/>
    <xf numFmtId="0" fontId="0" fillId="10" borderId="22" xfId="0" applyFill="1" applyBorder="1"/>
    <xf numFmtId="0" fontId="0" fillId="10" borderId="59" xfId="0" applyFill="1" applyBorder="1"/>
    <xf numFmtId="0" fontId="1" fillId="10" borderId="58" xfId="0" applyFont="1" applyFill="1" applyBorder="1" applyAlignment="1">
      <alignment vertical="center"/>
    </xf>
    <xf numFmtId="0" fontId="1" fillId="10" borderId="24" xfId="0" applyFont="1" applyFill="1" applyBorder="1" applyAlignment="1">
      <alignment vertical="center"/>
    </xf>
    <xf numFmtId="0" fontId="0" fillId="10" borderId="24" xfId="0" applyFill="1" applyBorder="1" applyAlignment="1">
      <alignment vertical="center"/>
    </xf>
    <xf numFmtId="0" fontId="0" fillId="10" borderId="63" xfId="0" applyFill="1" applyBorder="1" applyAlignment="1">
      <alignment vertical="center"/>
    </xf>
    <xf numFmtId="0" fontId="0" fillId="10" borderId="65" xfId="0" applyFill="1" applyBorder="1"/>
    <xf numFmtId="0" fontId="0" fillId="10" borderId="67" xfId="0" applyFill="1" applyBorder="1"/>
    <xf numFmtId="0" fontId="1" fillId="10" borderId="68" xfId="0" applyFont="1" applyFill="1" applyBorder="1" applyAlignment="1">
      <alignment vertical="center"/>
    </xf>
    <xf numFmtId="0" fontId="1" fillId="10" borderId="69" xfId="0" applyFont="1" applyFill="1" applyBorder="1" applyAlignment="1">
      <alignment vertical="center"/>
    </xf>
    <xf numFmtId="0" fontId="0" fillId="10" borderId="69" xfId="0" applyFill="1" applyBorder="1" applyAlignment="1">
      <alignment vertical="center"/>
    </xf>
    <xf numFmtId="0" fontId="0" fillId="10" borderId="70" xfId="0" applyFill="1" applyBorder="1" applyAlignment="1">
      <alignment vertical="center"/>
    </xf>
    <xf numFmtId="0" fontId="0" fillId="10" borderId="0" xfId="0" quotePrefix="1" applyFill="1" applyAlignment="1">
      <alignment horizontal="center"/>
    </xf>
    <xf numFmtId="0" fontId="40" fillId="6" borderId="0" xfId="6" applyFill="1" applyBorder="1"/>
    <xf numFmtId="0" fontId="0" fillId="6" borderId="22" xfId="0" applyFill="1" applyBorder="1" applyAlignment="1">
      <alignment vertical="center"/>
    </xf>
    <xf numFmtId="0" fontId="0" fillId="6" borderId="22" xfId="0" applyFill="1" applyBorder="1"/>
    <xf numFmtId="0" fontId="0" fillId="14" borderId="73" xfId="0" applyFill="1" applyBorder="1" applyAlignment="1">
      <alignment vertical="center"/>
    </xf>
    <xf numFmtId="0" fontId="0" fillId="6" borderId="73" xfId="0" applyFill="1" applyBorder="1"/>
    <xf numFmtId="0" fontId="0" fillId="6" borderId="75" xfId="0" applyFill="1" applyBorder="1"/>
    <xf numFmtId="0" fontId="1" fillId="7" borderId="72" xfId="0" applyFont="1" applyFill="1" applyBorder="1" applyAlignment="1">
      <alignment vertical="center"/>
    </xf>
    <xf numFmtId="0" fontId="1" fillId="7" borderId="38" xfId="0" applyFont="1" applyFill="1" applyBorder="1" applyAlignment="1">
      <alignment vertical="center"/>
    </xf>
    <xf numFmtId="0" fontId="10" fillId="13" borderId="4" xfId="0" applyFont="1" applyFill="1" applyBorder="1" applyAlignment="1">
      <alignment horizontal="center" vertical="top"/>
    </xf>
    <xf numFmtId="0" fontId="10" fillId="13" borderId="4" xfId="0" applyFont="1" applyFill="1" applyBorder="1" applyAlignment="1">
      <alignment horizontal="center" vertical="center"/>
    </xf>
    <xf numFmtId="0" fontId="10" fillId="13" borderId="5" xfId="5" applyFont="1" applyFill="1" applyBorder="1" applyAlignment="1">
      <alignment vertical="center"/>
    </xf>
    <xf numFmtId="0" fontId="10" fillId="13" borderId="5" xfId="5" applyFont="1" applyFill="1" applyBorder="1" applyAlignment="1">
      <alignment horizontal="left" vertical="center"/>
    </xf>
    <xf numFmtId="165" fontId="0" fillId="13" borderId="5" xfId="1" applyNumberFormat="1" applyFont="1" applyFill="1" applyBorder="1" applyAlignment="1">
      <alignment vertical="center"/>
    </xf>
    <xf numFmtId="0" fontId="0" fillId="13" borderId="5" xfId="0" applyFill="1" applyBorder="1" applyAlignment="1">
      <alignment vertical="center"/>
    </xf>
    <xf numFmtId="0" fontId="0" fillId="9" borderId="0" xfId="0" applyFill="1" applyAlignment="1">
      <alignment horizontal="center" vertical="center"/>
    </xf>
    <xf numFmtId="0" fontId="0" fillId="9" borderId="0" xfId="0" applyFill="1" applyAlignment="1">
      <alignment wrapText="1"/>
    </xf>
    <xf numFmtId="0" fontId="37" fillId="9" borderId="0" xfId="0" applyFont="1" applyFill="1" applyAlignment="1">
      <alignment horizontal="center"/>
    </xf>
    <xf numFmtId="0" fontId="0" fillId="9" borderId="0" xfId="0" applyFill="1" applyAlignment="1">
      <alignment horizontal="center"/>
    </xf>
    <xf numFmtId="0" fontId="0" fillId="9" borderId="52" xfId="0" applyFill="1" applyBorder="1"/>
    <xf numFmtId="0" fontId="1" fillId="9" borderId="39" xfId="0" applyFont="1" applyFill="1" applyBorder="1" applyAlignment="1">
      <alignment vertical="center" wrapText="1"/>
    </xf>
    <xf numFmtId="0" fontId="0" fillId="9" borderId="40" xfId="0" applyFill="1" applyBorder="1" applyAlignment="1">
      <alignment vertical="center"/>
    </xf>
    <xf numFmtId="0" fontId="0" fillId="9" borderId="40" xfId="0" applyFill="1" applyBorder="1"/>
    <xf numFmtId="0" fontId="38" fillId="9" borderId="0" xfId="0" applyFont="1" applyFill="1"/>
    <xf numFmtId="0" fontId="38" fillId="9" borderId="0" xfId="0" applyFont="1" applyFill="1" applyAlignment="1">
      <alignment horizontal="center"/>
    </xf>
    <xf numFmtId="0" fontId="1" fillId="9" borderId="38" xfId="0" applyFont="1" applyFill="1" applyBorder="1" applyAlignment="1">
      <alignment vertical="center"/>
    </xf>
    <xf numFmtId="0" fontId="0" fillId="9" borderId="22" xfId="0" applyFill="1" applyBorder="1" applyAlignment="1">
      <alignment vertical="center"/>
    </xf>
    <xf numFmtId="0" fontId="0" fillId="9" borderId="22" xfId="0" applyFill="1" applyBorder="1"/>
    <xf numFmtId="0" fontId="15" fillId="9" borderId="0" xfId="0" applyFont="1" applyFill="1"/>
    <xf numFmtId="0" fontId="0" fillId="9" borderId="0" xfId="0" applyFill="1" applyAlignment="1">
      <alignment vertical="center" wrapText="1"/>
    </xf>
    <xf numFmtId="0" fontId="48" fillId="9" borderId="48" xfId="0" applyFont="1" applyFill="1" applyBorder="1" applyAlignment="1">
      <alignment vertical="center"/>
    </xf>
    <xf numFmtId="2" fontId="48" fillId="6" borderId="23" xfId="0" applyNumberFormat="1" applyFont="1" applyFill="1" applyBorder="1" applyAlignment="1">
      <alignment vertical="center"/>
    </xf>
    <xf numFmtId="0" fontId="48" fillId="17" borderId="0" xfId="0" applyFont="1" applyFill="1" applyAlignment="1">
      <alignment vertical="center"/>
    </xf>
    <xf numFmtId="0" fontId="51" fillId="9" borderId="0" xfId="0" applyFont="1" applyFill="1" applyAlignment="1">
      <alignment vertical="center"/>
    </xf>
    <xf numFmtId="0" fontId="51" fillId="17" borderId="0" xfId="0" applyFont="1" applyFill="1" applyAlignment="1">
      <alignment vertical="center"/>
    </xf>
    <xf numFmtId="2" fontId="48" fillId="6" borderId="25" xfId="0" applyNumberFormat="1" applyFont="1" applyFill="1" applyBorder="1" applyAlignment="1">
      <alignment vertical="center"/>
    </xf>
    <xf numFmtId="2" fontId="48" fillId="16" borderId="40" xfId="0" applyNumberFormat="1" applyFont="1" applyFill="1" applyBorder="1" applyAlignment="1">
      <alignment vertical="center"/>
    </xf>
    <xf numFmtId="0" fontId="6" fillId="18" borderId="0" xfId="3" applyFill="1" applyBorder="1" applyAlignment="1">
      <alignment vertical="center"/>
    </xf>
    <xf numFmtId="0" fontId="12" fillId="19" borderId="0" xfId="0" applyFont="1" applyFill="1"/>
    <xf numFmtId="0" fontId="0" fillId="19" borderId="0" xfId="0" applyFill="1"/>
    <xf numFmtId="0" fontId="65" fillId="19" borderId="0" xfId="0" applyFont="1" applyFill="1"/>
    <xf numFmtId="0" fontId="0" fillId="19" borderId="0" xfId="0" applyFill="1" applyAlignment="1">
      <alignment vertical="center"/>
    </xf>
    <xf numFmtId="0" fontId="26" fillId="19" borderId="0" xfId="0" applyFont="1" applyFill="1"/>
    <xf numFmtId="0" fontId="27" fillId="19" borderId="0" xfId="0" applyFont="1" applyFill="1"/>
    <xf numFmtId="0" fontId="1" fillId="19" borderId="0" xfId="0" applyFont="1" applyFill="1"/>
    <xf numFmtId="0" fontId="66" fillId="19" borderId="0" xfId="2" applyFont="1" applyFill="1"/>
    <xf numFmtId="0" fontId="67" fillId="19" borderId="0" xfId="2" applyFont="1" applyFill="1"/>
    <xf numFmtId="0" fontId="66" fillId="9" borderId="0" xfId="2" applyFont="1" applyFill="1"/>
    <xf numFmtId="0" fontId="40" fillId="19" borderId="0" xfId="6" applyFill="1"/>
    <xf numFmtId="0" fontId="0" fillId="9" borderId="3" xfId="0" applyFill="1" applyBorder="1" applyProtection="1">
      <protection locked="0"/>
    </xf>
    <xf numFmtId="167" fontId="0" fillId="0" borderId="3" xfId="0" applyNumberFormat="1" applyBorder="1" applyProtection="1">
      <protection locked="0"/>
    </xf>
    <xf numFmtId="0" fontId="0" fillId="0" borderId="3" xfId="0" applyBorder="1" applyProtection="1">
      <protection locked="0"/>
    </xf>
    <xf numFmtId="0" fontId="0" fillId="9" borderId="3" xfId="0" applyFill="1" applyBorder="1" applyAlignment="1" applyProtection="1">
      <alignment vertical="center"/>
      <protection locked="0"/>
    </xf>
    <xf numFmtId="0" fontId="40" fillId="16" borderId="0" xfId="6" applyFill="1" applyBorder="1"/>
    <xf numFmtId="0" fontId="10" fillId="13" borderId="5" xfId="5" applyFont="1" applyFill="1" applyBorder="1" applyAlignment="1">
      <alignment horizontal="left" vertical="top"/>
    </xf>
    <xf numFmtId="0" fontId="58" fillId="19" borderId="78" xfId="7" applyFont="1" applyFill="1" applyBorder="1" applyAlignment="1">
      <alignment vertical="center"/>
    </xf>
    <xf numFmtId="0" fontId="52" fillId="19" borderId="78" xfId="7" applyFill="1" applyBorder="1" applyAlignment="1">
      <alignment vertical="center"/>
    </xf>
    <xf numFmtId="0" fontId="0" fillId="19" borderId="78" xfId="0" applyFill="1" applyBorder="1" applyAlignment="1">
      <alignment vertical="center"/>
    </xf>
    <xf numFmtId="0" fontId="52" fillId="19" borderId="77" xfId="7" applyFill="1" applyAlignment="1">
      <alignment vertical="center"/>
    </xf>
    <xf numFmtId="0" fontId="61" fillId="19" borderId="0" xfId="7" applyFont="1" applyFill="1" applyBorder="1" applyAlignment="1">
      <alignment vertical="center"/>
    </xf>
    <xf numFmtId="9" fontId="53" fillId="19" borderId="79" xfId="4" applyNumberFormat="1" applyFont="1" applyFill="1" applyBorder="1" applyAlignment="1">
      <alignment horizontal="center" vertical="center"/>
    </xf>
    <xf numFmtId="0" fontId="56" fillId="19" borderId="80" xfId="9" applyFont="1" applyFill="1" applyAlignment="1">
      <alignment horizontal="center" vertical="center" wrapText="1"/>
    </xf>
    <xf numFmtId="9" fontId="53" fillId="19" borderId="0" xfId="4" applyNumberFormat="1" applyFont="1" applyFill="1" applyBorder="1" applyAlignment="1">
      <alignment horizontal="center" vertical="center"/>
    </xf>
    <xf numFmtId="2" fontId="0" fillId="19" borderId="0" xfId="0" applyNumberFormat="1" applyFill="1"/>
    <xf numFmtId="0" fontId="56" fillId="19" borderId="80" xfId="0" applyFont="1" applyFill="1" applyBorder="1" applyAlignment="1">
      <alignment horizontal="center" vertical="center"/>
    </xf>
    <xf numFmtId="14" fontId="36" fillId="19" borderId="81" xfId="8" applyNumberFormat="1" applyFont="1" applyFill="1" applyBorder="1" applyAlignment="1">
      <alignment horizontal="center" vertical="center"/>
    </xf>
    <xf numFmtId="167" fontId="36" fillId="19" borderId="81" xfId="8" applyNumberFormat="1" applyFont="1" applyFill="1" applyBorder="1" applyAlignment="1">
      <alignment horizontal="center" vertical="center"/>
    </xf>
    <xf numFmtId="0" fontId="54" fillId="19" borderId="0" xfId="9" applyFill="1" applyBorder="1">
      <alignment horizontal="left" vertical="center"/>
    </xf>
    <xf numFmtId="0" fontId="0" fillId="19" borderId="0" xfId="0" applyFill="1" applyAlignment="1">
      <alignment horizontal="left" vertical="center"/>
    </xf>
    <xf numFmtId="0" fontId="56" fillId="19" borderId="80" xfId="9" applyFont="1" applyFill="1" applyAlignment="1">
      <alignment horizontal="left" vertical="center" wrapText="1"/>
    </xf>
    <xf numFmtId="14" fontId="36" fillId="19" borderId="81" xfId="8" applyNumberFormat="1" applyFont="1" applyFill="1" applyBorder="1" applyAlignment="1">
      <alignment horizontal="left" vertical="center"/>
    </xf>
    <xf numFmtId="165" fontId="36" fillId="19" borderId="81" xfId="1" applyNumberFormat="1" applyFont="1" applyFill="1" applyBorder="1" applyAlignment="1" applyProtection="1">
      <alignment vertical="center"/>
      <protection locked="0"/>
    </xf>
    <xf numFmtId="0" fontId="15" fillId="19" borderId="0" xfId="0" applyFont="1" applyFill="1" applyAlignment="1">
      <alignment horizontal="center" vertical="center"/>
    </xf>
    <xf numFmtId="14" fontId="55" fillId="19" borderId="0" xfId="0" applyNumberFormat="1" applyFont="1" applyFill="1" applyAlignment="1">
      <alignment vertical="center"/>
    </xf>
    <xf numFmtId="10" fontId="55" fillId="19" borderId="0" xfId="0" applyNumberFormat="1" applyFont="1" applyFill="1" applyAlignment="1">
      <alignment vertical="center"/>
    </xf>
    <xf numFmtId="0" fontId="60" fillId="19" borderId="0" xfId="0" applyFont="1" applyFill="1" applyAlignment="1">
      <alignment horizontal="left" vertical="center"/>
    </xf>
    <xf numFmtId="0" fontId="54" fillId="19" borderId="0" xfId="0" applyFont="1" applyFill="1" applyAlignment="1">
      <alignment horizontal="left" vertical="center"/>
    </xf>
    <xf numFmtId="0" fontId="54" fillId="19" borderId="0" xfId="0" applyFont="1" applyFill="1" applyAlignment="1">
      <alignment vertical="center"/>
    </xf>
    <xf numFmtId="0" fontId="52" fillId="19" borderId="0" xfId="7" applyFill="1" applyBorder="1" applyAlignment="1">
      <alignment vertical="center"/>
    </xf>
    <xf numFmtId="0" fontId="68" fillId="19" borderId="80" xfId="0" applyFont="1" applyFill="1" applyBorder="1" applyAlignment="1">
      <alignment horizontal="left" vertical="center"/>
    </xf>
    <xf numFmtId="165" fontId="36" fillId="19" borderId="82" xfId="1" applyNumberFormat="1" applyFont="1" applyFill="1" applyBorder="1" applyAlignment="1" applyProtection="1">
      <alignment vertical="center"/>
      <protection locked="0"/>
    </xf>
    <xf numFmtId="0" fontId="0" fillId="20" borderId="0" xfId="0" applyFill="1" applyAlignment="1">
      <alignment horizontal="center" vertical="center"/>
    </xf>
    <xf numFmtId="0" fontId="0" fillId="20" borderId="0" xfId="0" applyFill="1"/>
    <xf numFmtId="0" fontId="71" fillId="20" borderId="0" xfId="0" applyFont="1" applyFill="1" applyAlignment="1">
      <alignment horizontal="left" wrapText="1"/>
    </xf>
    <xf numFmtId="0" fontId="0" fillId="20" borderId="0" xfId="0" applyFill="1" applyAlignment="1">
      <alignment horizontal="left" wrapText="1"/>
    </xf>
    <xf numFmtId="0" fontId="0" fillId="20" borderId="0" xfId="0" applyFill="1" applyAlignment="1">
      <alignment horizontal="left"/>
    </xf>
    <xf numFmtId="0" fontId="0" fillId="17" borderId="86" xfId="0" applyFill="1" applyBorder="1"/>
    <xf numFmtId="0" fontId="0" fillId="17" borderId="88" xfId="0" applyFill="1" applyBorder="1"/>
    <xf numFmtId="0" fontId="73" fillId="20" borderId="0" xfId="0" applyFont="1" applyFill="1" applyAlignment="1">
      <alignment horizontal="right"/>
    </xf>
    <xf numFmtId="0" fontId="0" fillId="17" borderId="89" xfId="0" applyFill="1" applyBorder="1"/>
    <xf numFmtId="0" fontId="0" fillId="17" borderId="90" xfId="0" applyFill="1" applyBorder="1"/>
    <xf numFmtId="0" fontId="0" fillId="17" borderId="0" xfId="0" applyFill="1"/>
    <xf numFmtId="0" fontId="75" fillId="20" borderId="0" xfId="0" applyFont="1" applyFill="1"/>
    <xf numFmtId="0" fontId="73" fillId="20" borderId="0" xfId="0" applyFont="1" applyFill="1"/>
    <xf numFmtId="0" fontId="0" fillId="20" borderId="0" xfId="0" applyFill="1" applyAlignment="1">
      <alignment horizontal="right"/>
    </xf>
    <xf numFmtId="0" fontId="57" fillId="20" borderId="92" xfId="0" applyFont="1" applyFill="1" applyBorder="1" applyAlignment="1">
      <alignment horizontal="center" wrapText="1"/>
    </xf>
    <xf numFmtId="0" fontId="77" fillId="20" borderId="93" xfId="0" applyFont="1" applyFill="1" applyBorder="1" applyAlignment="1">
      <alignment horizontal="center" wrapText="1"/>
    </xf>
    <xf numFmtId="0" fontId="77" fillId="20" borderId="94" xfId="0" applyFont="1" applyFill="1" applyBorder="1" applyAlignment="1">
      <alignment horizontal="center" wrapText="1"/>
    </xf>
    <xf numFmtId="0" fontId="82" fillId="20" borderId="0" xfId="0" applyFont="1" applyFill="1" applyAlignment="1">
      <alignment horizontal="center"/>
    </xf>
    <xf numFmtId="0" fontId="57" fillId="20" borderId="95" xfId="0" applyFont="1" applyFill="1" applyBorder="1" applyAlignment="1">
      <alignment horizontal="center" vertical="center"/>
    </xf>
    <xf numFmtId="165" fontId="61" fillId="19" borderId="96" xfId="1" applyNumberFormat="1" applyFont="1" applyFill="1" applyBorder="1" applyAlignment="1" applyProtection="1">
      <alignment horizontal="right" vertical="center"/>
      <protection locked="0"/>
    </xf>
    <xf numFmtId="165" fontId="61" fillId="19" borderId="97" xfId="1" applyNumberFormat="1" applyFont="1" applyFill="1" applyBorder="1" applyAlignment="1" applyProtection="1">
      <alignment horizontal="right" vertical="center"/>
      <protection locked="0"/>
    </xf>
    <xf numFmtId="168" fontId="61" fillId="19" borderId="98" xfId="1" applyNumberFormat="1" applyFont="1" applyFill="1" applyBorder="1" applyAlignment="1" applyProtection="1">
      <alignment horizontal="right" vertical="center"/>
      <protection locked="0"/>
    </xf>
    <xf numFmtId="168" fontId="83" fillId="20" borderId="0" xfId="1" applyNumberFormat="1" applyFont="1" applyFill="1" applyBorder="1" applyAlignment="1" applyProtection="1">
      <alignment horizontal="right" vertical="center"/>
    </xf>
    <xf numFmtId="0" fontId="84" fillId="20" borderId="0" xfId="0" applyFont="1" applyFill="1" applyAlignment="1">
      <alignment horizontal="right"/>
    </xf>
    <xf numFmtId="165" fontId="61" fillId="19" borderId="99" xfId="1" applyNumberFormat="1" applyFont="1" applyFill="1" applyBorder="1" applyAlignment="1" applyProtection="1">
      <alignment horizontal="right" vertical="center"/>
      <protection locked="0"/>
    </xf>
    <xf numFmtId="165" fontId="61" fillId="19" borderId="81" xfId="1" applyNumberFormat="1" applyFont="1" applyFill="1" applyBorder="1" applyAlignment="1" applyProtection="1">
      <alignment horizontal="right" vertical="center"/>
      <protection locked="0"/>
    </xf>
    <xf numFmtId="165" fontId="61" fillId="19" borderId="100" xfId="1" applyNumberFormat="1" applyFont="1" applyFill="1" applyBorder="1" applyAlignment="1" applyProtection="1">
      <alignment horizontal="right" vertical="center"/>
      <protection locked="0"/>
    </xf>
    <xf numFmtId="0" fontId="84" fillId="20" borderId="0" xfId="0" applyFont="1" applyFill="1"/>
    <xf numFmtId="165" fontId="61" fillId="19" borderId="101" xfId="1" applyNumberFormat="1" applyFont="1" applyFill="1" applyBorder="1" applyAlignment="1" applyProtection="1">
      <alignment horizontal="right" vertical="center"/>
      <protection locked="0"/>
    </xf>
    <xf numFmtId="165" fontId="61" fillId="19" borderId="102" xfId="1" applyNumberFormat="1" applyFont="1" applyFill="1" applyBorder="1" applyAlignment="1" applyProtection="1">
      <alignment horizontal="right" vertical="center"/>
      <protection locked="0"/>
    </xf>
    <xf numFmtId="165" fontId="61" fillId="19" borderId="103" xfId="1" applyNumberFormat="1" applyFont="1" applyFill="1" applyBorder="1" applyAlignment="1" applyProtection="1">
      <alignment horizontal="right" vertical="center"/>
      <protection locked="0"/>
    </xf>
    <xf numFmtId="0" fontId="85" fillId="20" borderId="104" xfId="0" applyFont="1" applyFill="1" applyBorder="1" applyAlignment="1">
      <alignment wrapText="1"/>
    </xf>
    <xf numFmtId="165" fontId="86" fillId="20" borderId="105" xfId="1" applyNumberFormat="1" applyFont="1" applyFill="1" applyBorder="1" applyAlignment="1" applyProtection="1">
      <alignment horizontal="right" vertical="center"/>
    </xf>
    <xf numFmtId="168" fontId="86" fillId="20" borderId="106" xfId="1" applyNumberFormat="1" applyFont="1" applyFill="1" applyBorder="1" applyAlignment="1" applyProtection="1">
      <alignment horizontal="right" vertical="center"/>
    </xf>
    <xf numFmtId="0" fontId="0" fillId="17" borderId="107" xfId="0" applyFill="1" applyBorder="1"/>
    <xf numFmtId="0" fontId="0" fillId="17" borderId="108" xfId="0" applyFill="1" applyBorder="1"/>
    <xf numFmtId="0" fontId="0" fillId="17" borderId="109" xfId="0" applyFill="1" applyBorder="1"/>
    <xf numFmtId="0" fontId="87" fillId="20" borderId="0" xfId="0" applyFont="1" applyFill="1"/>
    <xf numFmtId="0" fontId="0" fillId="17" borderId="87" xfId="0" applyFill="1" applyBorder="1"/>
    <xf numFmtId="0" fontId="76" fillId="20" borderId="0" xfId="0" applyFont="1" applyFill="1" applyAlignment="1">
      <alignment horizontal="left"/>
    </xf>
    <xf numFmtId="0" fontId="90" fillId="20" borderId="0" xfId="0" applyFont="1" applyFill="1"/>
    <xf numFmtId="165" fontId="86" fillId="20" borderId="0" xfId="1" applyNumberFormat="1" applyFont="1" applyFill="1" applyBorder="1" applyAlignment="1" applyProtection="1">
      <alignment horizontal="right" vertical="center"/>
    </xf>
    <xf numFmtId="0" fontId="76" fillId="20" borderId="0" xfId="0" applyFont="1" applyFill="1"/>
    <xf numFmtId="0" fontId="92" fillId="20" borderId="0" xfId="0" applyFont="1" applyFill="1"/>
    <xf numFmtId="168" fontId="86" fillId="20" borderId="0" xfId="1" applyNumberFormat="1" applyFont="1" applyFill="1" applyBorder="1" applyAlignment="1" applyProtection="1">
      <alignment horizontal="right" vertical="center"/>
    </xf>
    <xf numFmtId="0" fontId="73" fillId="20" borderId="0" xfId="0" applyFont="1" applyFill="1" applyAlignment="1">
      <alignment horizontal="left"/>
    </xf>
    <xf numFmtId="0" fontId="56" fillId="20" borderId="0" xfId="9" applyFont="1" applyFill="1" applyBorder="1" applyAlignment="1">
      <alignment vertical="center" wrapText="1"/>
    </xf>
    <xf numFmtId="169" fontId="86" fillId="20" borderId="0" xfId="1" applyNumberFormat="1" applyFont="1" applyFill="1" applyBorder="1" applyAlignment="1" applyProtection="1">
      <alignment horizontal="right" vertical="center"/>
    </xf>
    <xf numFmtId="0" fontId="38" fillId="20" borderId="0" xfId="0" applyFont="1" applyFill="1"/>
    <xf numFmtId="0" fontId="38" fillId="20" borderId="0" xfId="0" applyFont="1" applyFill="1" applyAlignment="1">
      <alignment horizontal="center"/>
    </xf>
    <xf numFmtId="0" fontId="0" fillId="20" borderId="0" xfId="0" applyFill="1" applyAlignment="1">
      <alignment horizontal="center"/>
    </xf>
    <xf numFmtId="9" fontId="0" fillId="20" borderId="0" xfId="0" applyNumberFormat="1" applyFill="1"/>
    <xf numFmtId="0" fontId="38" fillId="20" borderId="0" xfId="0" applyFont="1" applyFill="1" applyAlignment="1">
      <alignment horizontal="left"/>
    </xf>
    <xf numFmtId="0" fontId="38" fillId="20" borderId="0" xfId="0" applyFont="1" applyFill="1" applyAlignment="1">
      <alignment horizontal="right"/>
    </xf>
    <xf numFmtId="1" fontId="0" fillId="20" borderId="0" xfId="0" applyNumberFormat="1" applyFill="1"/>
    <xf numFmtId="0" fontId="101" fillId="0" borderId="0" xfId="0" applyFont="1"/>
    <xf numFmtId="9" fontId="0" fillId="9" borderId="111" xfId="10" applyFont="1" applyFill="1" applyBorder="1" applyAlignment="1">
      <alignment horizontal="center"/>
    </xf>
    <xf numFmtId="9" fontId="0" fillId="9" borderId="112" xfId="10" applyFont="1" applyFill="1" applyBorder="1" applyAlignment="1">
      <alignment horizontal="center"/>
    </xf>
    <xf numFmtId="1" fontId="0" fillId="22" borderId="113" xfId="0" applyNumberFormat="1" applyFill="1" applyBorder="1" applyAlignment="1">
      <alignment horizontal="center"/>
    </xf>
    <xf numFmtId="9" fontId="0" fillId="9" borderId="114" xfId="10" applyFont="1" applyFill="1" applyBorder="1" applyAlignment="1">
      <alignment horizontal="center"/>
    </xf>
    <xf numFmtId="9" fontId="0" fillId="9" borderId="29" xfId="10" applyFont="1" applyFill="1" applyBorder="1" applyAlignment="1">
      <alignment horizontal="center"/>
    </xf>
    <xf numFmtId="1" fontId="0" fillId="22" borderId="115" xfId="0" applyNumberFormat="1" applyFill="1" applyBorder="1" applyAlignment="1">
      <alignment horizontal="center"/>
    </xf>
    <xf numFmtId="167" fontId="0" fillId="22" borderId="22" xfId="0" applyNumberFormat="1" applyFill="1" applyBorder="1" applyAlignment="1">
      <alignment horizontal="center"/>
    </xf>
    <xf numFmtId="0" fontId="38" fillId="22" borderId="117" xfId="0" applyFont="1" applyFill="1" applyBorder="1"/>
    <xf numFmtId="0" fontId="0" fillId="22" borderId="118" xfId="0" applyFill="1" applyBorder="1"/>
    <xf numFmtId="0" fontId="0" fillId="22" borderId="24" xfId="0" applyFill="1" applyBorder="1"/>
    <xf numFmtId="0" fontId="0" fillId="22" borderId="24" xfId="0" applyFill="1" applyBorder="1" applyAlignment="1">
      <alignment horizontal="center"/>
    </xf>
    <xf numFmtId="0" fontId="0" fillId="22" borderId="24" xfId="0" applyFill="1" applyBorder="1" applyAlignment="1">
      <alignment horizontal="left"/>
    </xf>
    <xf numFmtId="0" fontId="0" fillId="22" borderId="23" xfId="0" applyFill="1" applyBorder="1" applyAlignment="1">
      <alignment horizontal="center"/>
    </xf>
    <xf numFmtId="0" fontId="74" fillId="22" borderId="119" xfId="0" applyFont="1" applyFill="1" applyBorder="1"/>
    <xf numFmtId="1" fontId="0" fillId="0" borderId="0" xfId="0" applyNumberFormat="1" applyAlignment="1">
      <alignment horizontal="right"/>
    </xf>
    <xf numFmtId="0" fontId="0" fillId="22" borderId="120" xfId="0" applyFill="1" applyBorder="1"/>
    <xf numFmtId="0" fontId="0" fillId="22" borderId="0" xfId="0" applyFill="1"/>
    <xf numFmtId="0" fontId="0" fillId="22" borderId="16" xfId="0" applyFill="1" applyBorder="1" applyAlignment="1">
      <alignment horizontal="center"/>
    </xf>
    <xf numFmtId="0" fontId="38" fillId="22" borderId="121" xfId="0" applyFont="1" applyFill="1" applyBorder="1"/>
    <xf numFmtId="0" fontId="0" fillId="22" borderId="122" xfId="0" applyFill="1" applyBorder="1"/>
    <xf numFmtId="0" fontId="0" fillId="22" borderId="123" xfId="0" applyFill="1" applyBorder="1"/>
    <xf numFmtId="0" fontId="0" fillId="22" borderId="123" xfId="0" applyFill="1" applyBorder="1" applyAlignment="1">
      <alignment horizontal="center"/>
    </xf>
    <xf numFmtId="0" fontId="38" fillId="22" borderId="124" xfId="0" applyFont="1" applyFill="1" applyBorder="1"/>
    <xf numFmtId="0" fontId="0" fillId="0" borderId="125" xfId="0" applyBorder="1"/>
    <xf numFmtId="1" fontId="0" fillId="0" borderId="0" xfId="0" applyNumberFormat="1" applyAlignment="1">
      <alignment horizontal="center"/>
    </xf>
    <xf numFmtId="1" fontId="0" fillId="0" borderId="126" xfId="0" applyNumberFormat="1" applyBorder="1" applyAlignment="1">
      <alignment horizontal="center"/>
    </xf>
    <xf numFmtId="0" fontId="74" fillId="0" borderId="0" xfId="0" applyFont="1"/>
    <xf numFmtId="167" fontId="0" fillId="22" borderId="30" xfId="0" applyNumberFormat="1" applyFill="1" applyBorder="1" applyAlignment="1">
      <alignment horizontal="center"/>
    </xf>
    <xf numFmtId="0" fontId="0" fillId="22" borderId="23" xfId="0" applyFill="1" applyBorder="1"/>
    <xf numFmtId="0" fontId="74" fillId="22" borderId="119" xfId="0" applyFont="1" applyFill="1" applyBorder="1" applyAlignment="1">
      <alignment horizontal="center"/>
    </xf>
    <xf numFmtId="0" fontId="0" fillId="22" borderId="129" xfId="0" applyFill="1" applyBorder="1"/>
    <xf numFmtId="0" fontId="0" fillId="22" borderId="16" xfId="0" applyFill="1" applyBorder="1"/>
    <xf numFmtId="0" fontId="0" fillId="22" borderId="16" xfId="0" applyFill="1" applyBorder="1" applyAlignment="1">
      <alignment horizontal="left"/>
    </xf>
    <xf numFmtId="0" fontId="0" fillId="22" borderId="0" xfId="0" applyFill="1" applyAlignment="1">
      <alignment horizontal="left"/>
    </xf>
    <xf numFmtId="0" fontId="38" fillId="22" borderId="130" xfId="0" applyFont="1" applyFill="1" applyBorder="1" applyAlignment="1">
      <alignment horizontal="left"/>
    </xf>
    <xf numFmtId="0" fontId="0" fillId="22" borderId="123" xfId="0" applyFill="1" applyBorder="1" applyAlignment="1">
      <alignment horizontal="left"/>
    </xf>
    <xf numFmtId="0" fontId="38" fillId="22" borderId="124" xfId="0" applyFont="1" applyFill="1" applyBorder="1" applyAlignment="1">
      <alignment horizontal="left"/>
    </xf>
    <xf numFmtId="0" fontId="0" fillId="21" borderId="125" xfId="0" applyFill="1" applyBorder="1"/>
    <xf numFmtId="0" fontId="0" fillId="21" borderId="21" xfId="0" applyFill="1" applyBorder="1"/>
    <xf numFmtId="0" fontId="0" fillId="0" borderId="126" xfId="0" applyBorder="1"/>
    <xf numFmtId="1" fontId="0" fillId="0" borderId="0" xfId="0" applyNumberFormat="1"/>
    <xf numFmtId="0" fontId="0" fillId="0" borderId="131" xfId="0" applyBorder="1"/>
    <xf numFmtId="0" fontId="38" fillId="0" borderId="132" xfId="0" applyFont="1" applyBorder="1"/>
    <xf numFmtId="0" fontId="0" fillId="0" borderId="132" xfId="0" applyBorder="1"/>
    <xf numFmtId="0" fontId="71" fillId="0" borderId="133" xfId="0" applyFont="1" applyBorder="1"/>
    <xf numFmtId="0" fontId="0" fillId="17" borderId="0" xfId="0" applyFill="1" applyAlignment="1">
      <alignment horizontal="center"/>
    </xf>
    <xf numFmtId="0" fontId="72" fillId="17" borderId="0" xfId="0" applyFont="1" applyFill="1" applyAlignment="1">
      <alignment horizontal="left" vertical="center"/>
    </xf>
    <xf numFmtId="0" fontId="69" fillId="20" borderId="0" xfId="0" applyFont="1" applyFill="1" applyAlignment="1">
      <alignment vertical="center" wrapText="1"/>
    </xf>
    <xf numFmtId="0" fontId="76" fillId="20" borderId="0" xfId="0" applyFont="1" applyFill="1" applyAlignment="1">
      <alignment horizontal="right"/>
    </xf>
    <xf numFmtId="165" fontId="61" fillId="20" borderId="91" xfId="1" applyNumberFormat="1" applyFont="1" applyFill="1" applyBorder="1" applyAlignment="1" applyProtection="1">
      <alignment horizontal="right" vertical="center"/>
      <protection locked="0"/>
    </xf>
    <xf numFmtId="9" fontId="91" fillId="20" borderId="0" xfId="0" applyNumberFormat="1" applyFont="1" applyFill="1" applyAlignment="1">
      <alignment horizontal="center"/>
    </xf>
    <xf numFmtId="0" fontId="73" fillId="20" borderId="0" xfId="0" applyFont="1" applyFill="1" applyAlignment="1">
      <alignment vertical="center"/>
    </xf>
    <xf numFmtId="9" fontId="86" fillId="20" borderId="0" xfId="10" applyFont="1" applyFill="1" applyBorder="1" applyAlignment="1" applyProtection="1">
      <alignment vertical="center"/>
    </xf>
    <xf numFmtId="0" fontId="93" fillId="20" borderId="0" xfId="9" applyFont="1" applyFill="1" applyBorder="1" applyAlignment="1">
      <alignment wrapText="1"/>
    </xf>
    <xf numFmtId="9" fontId="86" fillId="20" borderId="0" xfId="0" applyNumberFormat="1" applyFont="1" applyFill="1" applyAlignment="1">
      <alignment vertical="center"/>
    </xf>
    <xf numFmtId="0" fontId="76" fillId="9" borderId="136" xfId="0" applyFont="1" applyFill="1" applyBorder="1" applyAlignment="1">
      <alignment wrapText="1"/>
    </xf>
    <xf numFmtId="14" fontId="36" fillId="9" borderId="135" xfId="0" applyNumberFormat="1" applyFont="1" applyFill="1" applyBorder="1" applyAlignment="1">
      <alignment wrapText="1"/>
    </xf>
    <xf numFmtId="1" fontId="36" fillId="9" borderId="135" xfId="0" applyNumberFormat="1" applyFont="1" applyFill="1" applyBorder="1" applyAlignment="1">
      <alignment wrapText="1"/>
    </xf>
    <xf numFmtId="1" fontId="36" fillId="9" borderId="135" xfId="0" applyNumberFormat="1" applyFont="1" applyFill="1" applyBorder="1" applyAlignment="1">
      <alignment horizontal="center" wrapText="1"/>
    </xf>
    <xf numFmtId="167" fontId="36" fillId="9" borderId="135" xfId="0" applyNumberFormat="1" applyFont="1" applyFill="1" applyBorder="1" applyAlignment="1">
      <alignment horizontal="center" wrapText="1"/>
    </xf>
    <xf numFmtId="0" fontId="0" fillId="19" borderId="140" xfId="0" applyFill="1" applyBorder="1" applyAlignment="1">
      <alignment vertical="center"/>
    </xf>
    <xf numFmtId="167" fontId="36" fillId="9" borderId="135" xfId="0" applyNumberFormat="1" applyFont="1" applyFill="1" applyBorder="1" applyAlignment="1">
      <alignment wrapText="1"/>
    </xf>
    <xf numFmtId="165" fontId="36" fillId="9" borderId="135" xfId="1" applyNumberFormat="1" applyFont="1" applyFill="1" applyBorder="1" applyAlignment="1" applyProtection="1">
      <alignment vertical="center" wrapText="1"/>
    </xf>
    <xf numFmtId="0" fontId="76" fillId="9" borderId="136" xfId="0" applyFont="1" applyFill="1" applyBorder="1" applyAlignment="1">
      <alignment horizontal="center" wrapText="1"/>
    </xf>
    <xf numFmtId="2" fontId="1" fillId="19" borderId="0" xfId="0" applyNumberFormat="1" applyFont="1" applyFill="1"/>
    <xf numFmtId="171" fontId="89" fillId="20" borderId="0" xfId="0" applyNumberFormat="1" applyFont="1" applyFill="1" applyAlignment="1">
      <alignment vertical="center"/>
    </xf>
    <xf numFmtId="0" fontId="89" fillId="20" borderId="0" xfId="0" applyFont="1" applyFill="1" applyAlignment="1">
      <alignment vertical="center"/>
    </xf>
    <xf numFmtId="165" fontId="86" fillId="20" borderId="0" xfId="1" applyNumberFormat="1" applyFont="1" applyFill="1" applyBorder="1" applyAlignment="1" applyProtection="1">
      <alignment horizontal="center"/>
    </xf>
    <xf numFmtId="165" fontId="86" fillId="20" borderId="0" xfId="1" applyNumberFormat="1" applyFont="1" applyFill="1" applyBorder="1" applyAlignment="1" applyProtection="1">
      <alignment vertical="center"/>
    </xf>
    <xf numFmtId="171" fontId="105" fillId="20" borderId="134" xfId="0" applyNumberFormat="1" applyFont="1" applyFill="1" applyBorder="1" applyAlignment="1">
      <alignment horizontal="right" vertical="center"/>
    </xf>
    <xf numFmtId="0" fontId="109" fillId="9" borderId="142" xfId="0" applyFont="1" applyFill="1" applyBorder="1" applyAlignment="1" applyProtection="1">
      <alignment vertical="center" wrapText="1"/>
      <protection locked="0"/>
    </xf>
    <xf numFmtId="165" fontId="36" fillId="9" borderId="135" xfId="1" applyNumberFormat="1" applyFont="1" applyFill="1" applyBorder="1" applyAlignment="1" applyProtection="1">
      <alignment vertical="center" wrapText="1"/>
      <protection locked="0"/>
    </xf>
    <xf numFmtId="165" fontId="109" fillId="9" borderId="136" xfId="0" applyNumberFormat="1" applyFont="1" applyFill="1" applyBorder="1" applyAlignment="1" applyProtection="1">
      <alignment wrapText="1"/>
      <protection locked="0"/>
    </xf>
    <xf numFmtId="0" fontId="0" fillId="20" borderId="7" xfId="0" applyFill="1" applyBorder="1"/>
    <xf numFmtId="0" fontId="0" fillId="20" borderId="8" xfId="0" applyFill="1" applyBorder="1"/>
    <xf numFmtId="0" fontId="0" fillId="9" borderId="3" xfId="0" applyFill="1" applyBorder="1"/>
    <xf numFmtId="165" fontId="36" fillId="19" borderId="81" xfId="1" applyNumberFormat="1" applyFont="1" applyFill="1" applyBorder="1" applyAlignment="1" applyProtection="1">
      <alignment vertical="center"/>
    </xf>
    <xf numFmtId="165" fontId="109" fillId="9" borderId="136" xfId="0" applyNumberFormat="1" applyFont="1" applyFill="1" applyBorder="1" applyAlignment="1" applyProtection="1">
      <alignment vertical="center" wrapText="1"/>
      <protection locked="0"/>
    </xf>
    <xf numFmtId="0" fontId="124" fillId="19" borderId="0" xfId="0" applyFont="1" applyFill="1"/>
    <xf numFmtId="0" fontId="124" fillId="19" borderId="0" xfId="0" applyFont="1" applyFill="1" applyAlignment="1">
      <alignment vertical="top"/>
    </xf>
    <xf numFmtId="0" fontId="0" fillId="20" borderId="9" xfId="0" applyFill="1" applyBorder="1"/>
    <xf numFmtId="0" fontId="0" fillId="20" borderId="10" xfId="0" applyFill="1" applyBorder="1"/>
    <xf numFmtId="0" fontId="0" fillId="20" borderId="11" xfId="0" applyFill="1" applyBorder="1"/>
    <xf numFmtId="0" fontId="76" fillId="9" borderId="152" xfId="0" applyFont="1" applyFill="1" applyBorder="1" applyAlignment="1" applyProtection="1">
      <alignment wrapText="1"/>
      <protection locked="0"/>
    </xf>
    <xf numFmtId="0" fontId="76" fillId="9" borderId="152" xfId="0" applyFont="1" applyFill="1" applyBorder="1" applyAlignment="1" applyProtection="1">
      <alignment horizontal="center" wrapText="1"/>
      <protection locked="0"/>
    </xf>
    <xf numFmtId="165" fontId="61" fillId="20" borderId="0" xfId="1" applyNumberFormat="1" applyFont="1" applyFill="1" applyBorder="1" applyAlignment="1" applyProtection="1">
      <alignment horizontal="right" vertical="center"/>
    </xf>
    <xf numFmtId="0" fontId="126" fillId="23" borderId="3" xfId="12" applyBorder="1" applyProtection="1"/>
    <xf numFmtId="0" fontId="127" fillId="20" borderId="93" xfId="0" applyFont="1" applyFill="1" applyBorder="1" applyAlignment="1">
      <alignment horizontal="center" wrapText="1"/>
    </xf>
    <xf numFmtId="0" fontId="21" fillId="16" borderId="0" xfId="0" applyFont="1" applyFill="1"/>
    <xf numFmtId="0" fontId="128" fillId="16" borderId="0" xfId="0" applyFont="1" applyFill="1"/>
    <xf numFmtId="0" fontId="129" fillId="24" borderId="0" xfId="3" applyFont="1" applyFill="1" applyBorder="1" applyAlignment="1" applyProtection="1">
      <alignment vertical="center" wrapText="1"/>
      <protection hidden="1"/>
    </xf>
    <xf numFmtId="0" fontId="129" fillId="24" borderId="0" xfId="3" applyFont="1" applyFill="1" applyBorder="1" applyAlignment="1" applyProtection="1">
      <alignment vertical="center"/>
      <protection hidden="1"/>
    </xf>
    <xf numFmtId="0" fontId="4" fillId="18" borderId="156" xfId="0" applyFont="1" applyFill="1" applyBorder="1"/>
    <xf numFmtId="0" fontId="4" fillId="0" borderId="0" xfId="0" applyFont="1"/>
    <xf numFmtId="0" fontId="4" fillId="18" borderId="0" xfId="0" applyFont="1" applyFill="1"/>
    <xf numFmtId="0" fontId="9" fillId="18" borderId="0" xfId="0" applyFont="1" applyFill="1"/>
    <xf numFmtId="0" fontId="130" fillId="18" borderId="0" xfId="3" applyFont="1" applyFill="1" applyBorder="1" applyAlignment="1" applyProtection="1">
      <alignment vertical="center"/>
    </xf>
    <xf numFmtId="0" fontId="131" fillId="18" borderId="0" xfId="3" applyFont="1" applyFill="1" applyBorder="1" applyProtection="1"/>
    <xf numFmtId="0" fontId="132" fillId="18" borderId="0" xfId="3" applyFont="1" applyFill="1" applyBorder="1" applyProtection="1"/>
    <xf numFmtId="0" fontId="4" fillId="25" borderId="0" xfId="0" applyFont="1" applyFill="1"/>
    <xf numFmtId="0" fontId="35" fillId="18" borderId="0" xfId="0" applyFont="1" applyFill="1"/>
    <xf numFmtId="0" fontId="133" fillId="18" borderId="0" xfId="0" applyFont="1" applyFill="1" applyAlignment="1">
      <alignment vertical="top" wrapText="1"/>
    </xf>
    <xf numFmtId="0" fontId="0" fillId="20" borderId="0" xfId="0" applyFill="1" applyProtection="1">
      <protection hidden="1"/>
    </xf>
    <xf numFmtId="0" fontId="0" fillId="18" borderId="0" xfId="0" applyFill="1" applyProtection="1">
      <protection hidden="1"/>
    </xf>
    <xf numFmtId="0" fontId="133" fillId="18" borderId="0" xfId="0" applyFont="1" applyFill="1" applyAlignment="1">
      <alignment vertical="center" wrapText="1"/>
    </xf>
    <xf numFmtId="0" fontId="133" fillId="18" borderId="0" xfId="0" applyFont="1" applyFill="1" applyAlignment="1">
      <alignment horizontal="center" vertical="center" wrapText="1"/>
    </xf>
    <xf numFmtId="0" fontId="129" fillId="18" borderId="0" xfId="3" applyFont="1" applyFill="1" applyBorder="1" applyAlignment="1" applyProtection="1">
      <alignment vertical="center" wrapText="1"/>
      <protection hidden="1"/>
    </xf>
    <xf numFmtId="0" fontId="129" fillId="18" borderId="0" xfId="3" applyFont="1" applyFill="1" applyBorder="1" applyAlignment="1" applyProtection="1">
      <alignment vertical="center"/>
      <protection hidden="1"/>
    </xf>
    <xf numFmtId="14" fontId="36" fillId="9" borderId="135" xfId="0" applyNumberFormat="1" applyFont="1" applyFill="1" applyBorder="1" applyAlignment="1" applyProtection="1">
      <alignment vertical="center" wrapText="1"/>
      <protection locked="0"/>
    </xf>
    <xf numFmtId="167" fontId="36" fillId="9" borderId="135" xfId="0" applyNumberFormat="1" applyFont="1" applyFill="1" applyBorder="1" applyAlignment="1" applyProtection="1">
      <alignment horizontal="center" vertical="center" wrapText="1"/>
      <protection locked="0"/>
    </xf>
    <xf numFmtId="167" fontId="36" fillId="9" borderId="135" xfId="0" applyNumberFormat="1" applyFont="1" applyFill="1" applyBorder="1" applyAlignment="1" applyProtection="1">
      <alignment vertical="center" wrapText="1"/>
      <protection locked="0"/>
    </xf>
    <xf numFmtId="0" fontId="70" fillId="20" borderId="0" xfId="0" applyFont="1" applyFill="1"/>
    <xf numFmtId="0" fontId="70" fillId="18" borderId="0" xfId="0" applyFont="1" applyFill="1"/>
    <xf numFmtId="0" fontId="106" fillId="19" borderId="151" xfId="0" applyFont="1" applyFill="1" applyBorder="1" applyAlignment="1">
      <alignment horizontal="right" wrapText="1"/>
    </xf>
    <xf numFmtId="0" fontId="0" fillId="20" borderId="86" xfId="0" applyFill="1" applyBorder="1"/>
    <xf numFmtId="0" fontId="0" fillId="20" borderId="87" xfId="0" applyFill="1" applyBorder="1"/>
    <xf numFmtId="0" fontId="0" fillId="20" borderId="88" xfId="0" applyFill="1" applyBorder="1"/>
    <xf numFmtId="0" fontId="0" fillId="20" borderId="89" xfId="0" applyFill="1" applyBorder="1"/>
    <xf numFmtId="0" fontId="116" fillId="20" borderId="0" xfId="0" applyFont="1" applyFill="1" applyAlignment="1">
      <alignment horizontal="left" vertical="center"/>
    </xf>
    <xf numFmtId="0" fontId="0" fillId="20" borderId="90" xfId="0" applyFill="1" applyBorder="1"/>
    <xf numFmtId="0" fontId="118" fillId="20" borderId="0" xfId="0" quotePrefix="1" applyFont="1" applyFill="1"/>
    <xf numFmtId="0" fontId="72" fillId="20" borderId="0" xfId="0" applyFont="1" applyFill="1" applyAlignment="1">
      <alignment horizontal="left" vertical="center"/>
    </xf>
    <xf numFmtId="0" fontId="106" fillId="20" borderId="0" xfId="0" applyFont="1" applyFill="1" applyAlignment="1">
      <alignment horizontal="left" vertical="center" wrapText="1"/>
    </xf>
    <xf numFmtId="0" fontId="106" fillId="20" borderId="0" xfId="0" applyFont="1" applyFill="1" applyAlignment="1">
      <alignment vertical="center" wrapText="1"/>
    </xf>
    <xf numFmtId="0" fontId="115" fillId="20" borderId="0" xfId="0" applyFont="1" applyFill="1" applyAlignment="1">
      <alignment vertical="center"/>
    </xf>
    <xf numFmtId="0" fontId="108" fillId="20" borderId="0" xfId="0" applyFont="1" applyFill="1" applyAlignment="1">
      <alignment vertical="center" wrapText="1"/>
    </xf>
    <xf numFmtId="0" fontId="106" fillId="20" borderId="134" xfId="0" applyFont="1" applyFill="1" applyBorder="1" applyAlignment="1">
      <alignment vertical="center" wrapText="1"/>
    </xf>
    <xf numFmtId="0" fontId="106" fillId="20" borderId="134" xfId="0" applyFont="1" applyFill="1" applyBorder="1" applyAlignment="1">
      <alignment vertical="center"/>
    </xf>
    <xf numFmtId="0" fontId="110" fillId="20" borderId="0" xfId="0" applyFont="1" applyFill="1" applyAlignment="1">
      <alignment horizontal="left" vertical="top"/>
    </xf>
    <xf numFmtId="0" fontId="73" fillId="20" borderId="0" xfId="0" applyFont="1" applyFill="1" applyAlignment="1">
      <alignment horizontal="left" vertical="top" wrapText="1"/>
    </xf>
    <xf numFmtId="0" fontId="111" fillId="20" borderId="0" xfId="0" applyFont="1" applyFill="1" applyAlignment="1">
      <alignment vertical="center"/>
    </xf>
    <xf numFmtId="0" fontId="73" fillId="20" borderId="90" xfId="0" applyFont="1" applyFill="1" applyBorder="1" applyAlignment="1">
      <alignment vertical="center"/>
    </xf>
    <xf numFmtId="0" fontId="123" fillId="20" borderId="0" xfId="0" applyFont="1" applyFill="1" applyAlignment="1">
      <alignment vertical="center"/>
    </xf>
    <xf numFmtId="0" fontId="121" fillId="20" borderId="0" xfId="0" applyFont="1" applyFill="1" applyAlignment="1">
      <alignment horizontal="right" wrapText="1"/>
    </xf>
    <xf numFmtId="0" fontId="0" fillId="20" borderId="107" xfId="0" applyFill="1" applyBorder="1" applyAlignment="1">
      <alignment vertical="top"/>
    </xf>
    <xf numFmtId="0" fontId="0" fillId="24" borderId="0" xfId="0" applyFill="1"/>
    <xf numFmtId="9" fontId="135" fillId="19" borderId="150" xfId="13" applyNumberFormat="1" applyFont="1" applyFill="1" applyBorder="1" applyAlignment="1" applyProtection="1">
      <alignment vertical="center" wrapText="1"/>
    </xf>
    <xf numFmtId="167" fontId="0" fillId="22" borderId="17" xfId="0" applyNumberFormat="1" applyFill="1" applyBorder="1" applyAlignment="1">
      <alignment horizontal="center"/>
    </xf>
    <xf numFmtId="167" fontId="0" fillId="22" borderId="128" xfId="0" applyNumberFormat="1" applyFill="1" applyBorder="1" applyAlignment="1">
      <alignment horizontal="center"/>
    </xf>
    <xf numFmtId="167" fontId="0" fillId="22" borderId="127" xfId="0" applyNumberFormat="1" applyFill="1" applyBorder="1" applyAlignment="1">
      <alignment horizontal="center"/>
    </xf>
    <xf numFmtId="167" fontId="0" fillId="22" borderId="116" xfId="0" applyNumberFormat="1" applyFill="1" applyBorder="1" applyAlignment="1">
      <alignment horizontal="center"/>
    </xf>
    <xf numFmtId="0" fontId="119" fillId="24" borderId="0" xfId="0" applyFont="1" applyFill="1" applyAlignment="1">
      <alignment horizontal="center" vertical="center" wrapText="1"/>
    </xf>
    <xf numFmtId="0" fontId="140" fillId="20" borderId="157" xfId="0" applyFont="1" applyFill="1" applyBorder="1" applyAlignment="1">
      <alignment vertical="center" wrapText="1"/>
    </xf>
    <xf numFmtId="0" fontId="140" fillId="20" borderId="0" xfId="0" applyFont="1" applyFill="1" applyAlignment="1">
      <alignment vertical="top" wrapText="1"/>
    </xf>
    <xf numFmtId="0" fontId="140" fillId="20" borderId="158" xfId="0" applyFont="1" applyFill="1" applyBorder="1" applyAlignment="1">
      <alignment vertical="top" wrapText="1"/>
    </xf>
    <xf numFmtId="0" fontId="140" fillId="24" borderId="0" xfId="0" applyFont="1" applyFill="1" applyAlignment="1">
      <alignment vertical="top" wrapText="1"/>
    </xf>
    <xf numFmtId="0" fontId="0" fillId="0" borderId="0" xfId="0" applyAlignment="1">
      <alignment vertical="top"/>
    </xf>
    <xf numFmtId="0" fontId="0" fillId="24" borderId="0" xfId="0" applyFill="1" applyAlignment="1">
      <alignment vertical="center"/>
    </xf>
    <xf numFmtId="0" fontId="140" fillId="24" borderId="0" xfId="0" applyFont="1" applyFill="1" applyAlignment="1">
      <alignment vertical="center" wrapText="1"/>
    </xf>
    <xf numFmtId="0" fontId="143" fillId="20" borderId="0" xfId="0" applyFont="1" applyFill="1"/>
    <xf numFmtId="0" fontId="144" fillId="20" borderId="93" xfId="0" applyFont="1" applyFill="1" applyBorder="1" applyAlignment="1">
      <alignment horizontal="center" vertical="center" wrapText="1"/>
    </xf>
    <xf numFmtId="0" fontId="110" fillId="20" borderId="0" xfId="0" applyFont="1" applyFill="1" applyAlignment="1">
      <alignment horizontal="left" vertical="center" wrapText="1"/>
    </xf>
    <xf numFmtId="0" fontId="73" fillId="9" borderId="137" xfId="0" applyFont="1" applyFill="1" applyBorder="1"/>
    <xf numFmtId="0" fontId="35" fillId="18" borderId="0" xfId="0" applyFont="1" applyFill="1" applyAlignment="1">
      <alignment horizontal="right"/>
    </xf>
    <xf numFmtId="167" fontId="0" fillId="22" borderId="0" xfId="0" applyNumberFormat="1" applyFill="1" applyAlignment="1">
      <alignment horizontal="center"/>
    </xf>
    <xf numFmtId="0" fontId="136" fillId="26" borderId="0" xfId="0" applyFont="1" applyFill="1" applyAlignment="1">
      <alignment horizontal="left" vertical="center" wrapText="1" indent="2"/>
    </xf>
    <xf numFmtId="0" fontId="136" fillId="26" borderId="0" xfId="0" applyFont="1" applyFill="1" applyAlignment="1">
      <alignment horizontal="left" vertical="center" indent="2"/>
    </xf>
    <xf numFmtId="0" fontId="133" fillId="18" borderId="0" xfId="0" applyFont="1" applyFill="1" applyAlignment="1">
      <alignment horizontal="left" vertical="center" wrapText="1"/>
    </xf>
    <xf numFmtId="14" fontId="149" fillId="18" borderId="0" xfId="0" applyNumberFormat="1" applyFont="1" applyFill="1" applyAlignment="1">
      <alignment horizontal="center"/>
    </xf>
    <xf numFmtId="0" fontId="35" fillId="18" borderId="0" xfId="0" applyFont="1" applyFill="1" applyAlignment="1">
      <alignment horizontal="right"/>
    </xf>
    <xf numFmtId="0" fontId="73" fillId="20" borderId="0" xfId="9" applyFont="1" applyFill="1" applyBorder="1" applyAlignment="1">
      <alignment horizontal="right" vertical="center" wrapText="1"/>
    </xf>
    <xf numFmtId="0" fontId="73" fillId="20" borderId="110" xfId="9" applyFont="1" applyFill="1" applyBorder="1" applyAlignment="1">
      <alignment horizontal="right" vertical="center" wrapText="1"/>
    </xf>
    <xf numFmtId="0" fontId="145" fillId="20" borderId="0" xfId="9" applyFont="1" applyFill="1" applyBorder="1" applyAlignment="1">
      <alignment horizontal="right" vertical="center" wrapText="1"/>
    </xf>
    <xf numFmtId="0" fontId="56" fillId="20" borderId="0" xfId="0" applyFont="1" applyFill="1" applyAlignment="1">
      <alignment horizontal="right" vertical="top" wrapText="1"/>
    </xf>
    <xf numFmtId="0" fontId="93" fillId="17" borderId="0" xfId="9" applyFont="1" applyFill="1" applyBorder="1" applyAlignment="1">
      <alignment horizontal="left" vertical="top" wrapText="1"/>
    </xf>
    <xf numFmtId="0" fontId="80" fillId="20" borderId="0" xfId="0" applyFont="1" applyFill="1" applyAlignment="1">
      <alignment horizontal="left" wrapText="1"/>
    </xf>
    <xf numFmtId="0" fontId="56" fillId="20" borderId="0" xfId="9" applyFont="1" applyFill="1" applyBorder="1" applyAlignment="1">
      <alignment horizontal="right" vertical="center" wrapText="1"/>
    </xf>
    <xf numFmtId="0" fontId="70" fillId="20" borderId="0" xfId="0" applyFont="1" applyFill="1" applyAlignment="1">
      <alignment horizontal="center"/>
    </xf>
    <xf numFmtId="0" fontId="56" fillId="20" borderId="0" xfId="0" applyFont="1" applyFill="1" applyAlignment="1">
      <alignment horizontal="center" vertical="center"/>
    </xf>
    <xf numFmtId="0" fontId="76" fillId="9" borderId="153" xfId="0" applyFont="1" applyFill="1" applyBorder="1" applyAlignment="1" applyProtection="1">
      <alignment horizontal="center" vertical="center" wrapText="1"/>
      <protection locked="0"/>
    </xf>
    <xf numFmtId="0" fontId="76" fillId="9" borderId="154" xfId="0" applyFont="1" applyFill="1" applyBorder="1" applyAlignment="1" applyProtection="1">
      <alignment horizontal="center" vertical="center" wrapText="1"/>
      <protection locked="0"/>
    </xf>
    <xf numFmtId="0" fontId="76" fillId="9" borderId="155" xfId="0" applyFont="1" applyFill="1" applyBorder="1" applyAlignment="1" applyProtection="1">
      <alignment horizontal="center" vertical="center" wrapText="1"/>
      <protection locked="0"/>
    </xf>
    <xf numFmtId="0" fontId="104" fillId="20" borderId="0" xfId="6" applyFont="1" applyFill="1" applyAlignment="1" applyProtection="1">
      <alignment horizontal="right"/>
    </xf>
    <xf numFmtId="0" fontId="104" fillId="20" borderId="0" xfId="6" applyFont="1" applyFill="1" applyBorder="1" applyAlignment="1" applyProtection="1">
      <alignment horizontal="right"/>
    </xf>
    <xf numFmtId="0" fontId="69" fillId="20" borderId="0" xfId="0" applyFont="1" applyFill="1" applyAlignment="1">
      <alignment horizontal="center" vertical="center" wrapText="1"/>
    </xf>
    <xf numFmtId="0" fontId="76" fillId="9" borderId="138" xfId="0" applyFont="1" applyFill="1" applyBorder="1" applyAlignment="1">
      <alignment horizontal="center" vertical="center" wrapText="1"/>
    </xf>
    <xf numFmtId="0" fontId="76" fillId="9" borderId="139" xfId="0" applyFont="1" applyFill="1" applyBorder="1" applyAlignment="1">
      <alignment horizontal="center" vertical="center" wrapText="1"/>
    </xf>
    <xf numFmtId="0" fontId="76" fillId="9" borderId="137" xfId="0" applyFont="1" applyFill="1" applyBorder="1" applyAlignment="1">
      <alignment horizontal="center" vertical="center" wrapText="1"/>
    </xf>
    <xf numFmtId="0" fontId="56" fillId="20" borderId="91" xfId="0" applyFont="1" applyFill="1" applyBorder="1" applyAlignment="1">
      <alignment horizontal="center" vertical="center"/>
    </xf>
    <xf numFmtId="0" fontId="140" fillId="20" borderId="7" xfId="0" applyFont="1" applyFill="1" applyBorder="1" applyAlignment="1">
      <alignment horizontal="left" vertical="top" wrapText="1" indent="1"/>
    </xf>
    <xf numFmtId="0" fontId="140" fillId="20" borderId="0" xfId="0" applyFont="1" applyFill="1" applyAlignment="1">
      <alignment horizontal="left" vertical="top" wrapText="1" indent="1"/>
    </xf>
    <xf numFmtId="0" fontId="140" fillId="20" borderId="8" xfId="0" applyFont="1" applyFill="1" applyBorder="1" applyAlignment="1">
      <alignment horizontal="left" vertical="top" wrapText="1" indent="1"/>
    </xf>
    <xf numFmtId="0" fontId="140" fillId="20" borderId="9" xfId="0" applyFont="1" applyFill="1" applyBorder="1" applyAlignment="1">
      <alignment horizontal="left" vertical="top" wrapText="1" indent="1"/>
    </xf>
    <xf numFmtId="0" fontId="140" fillId="20" borderId="10" xfId="0" applyFont="1" applyFill="1" applyBorder="1" applyAlignment="1">
      <alignment horizontal="left" vertical="top" wrapText="1" indent="1"/>
    </xf>
    <xf numFmtId="0" fontId="140" fillId="20" borderId="11" xfId="0" applyFont="1" applyFill="1" applyBorder="1" applyAlignment="1">
      <alignment horizontal="left" vertical="top" wrapText="1" indent="1"/>
    </xf>
    <xf numFmtId="0" fontId="119" fillId="20" borderId="4" xfId="0" applyFont="1" applyFill="1" applyBorder="1" applyAlignment="1">
      <alignment horizontal="center" vertical="center" wrapText="1"/>
    </xf>
    <xf numFmtId="0" fontId="119" fillId="20" borderId="5" xfId="0" applyFont="1" applyFill="1" applyBorder="1" applyAlignment="1">
      <alignment horizontal="center" vertical="center" wrapText="1"/>
    </xf>
    <xf numFmtId="0" fontId="119" fillId="20" borderId="6" xfId="0" applyFont="1" applyFill="1" applyBorder="1" applyAlignment="1">
      <alignment horizontal="center" vertical="center" wrapText="1"/>
    </xf>
    <xf numFmtId="0" fontId="119" fillId="20" borderId="7" xfId="0" applyFont="1" applyFill="1" applyBorder="1" applyAlignment="1">
      <alignment horizontal="center" vertical="center" wrapText="1"/>
    </xf>
    <xf numFmtId="0" fontId="119" fillId="20" borderId="0" xfId="0" applyFont="1" applyFill="1" applyAlignment="1">
      <alignment horizontal="center" vertical="center" wrapText="1"/>
    </xf>
    <xf numFmtId="0" fontId="119" fillId="20" borderId="8" xfId="0" applyFont="1" applyFill="1" applyBorder="1" applyAlignment="1">
      <alignment horizontal="center" vertical="center" wrapText="1"/>
    </xf>
    <xf numFmtId="0" fontId="33" fillId="19" borderId="0" xfId="0" applyFont="1" applyFill="1" applyAlignment="1">
      <alignment horizontal="center" wrapText="1"/>
    </xf>
    <xf numFmtId="0" fontId="121" fillId="20" borderId="0" xfId="0" applyFont="1" applyFill="1" applyAlignment="1">
      <alignment horizontal="right" wrapText="1"/>
    </xf>
    <xf numFmtId="0" fontId="112" fillId="20" borderId="0" xfId="0" applyFont="1" applyFill="1" applyAlignment="1">
      <alignment horizontal="right" vertical="center" wrapText="1"/>
    </xf>
    <xf numFmtId="0" fontId="112" fillId="20" borderId="108" xfId="0" applyFont="1" applyFill="1" applyBorder="1" applyAlignment="1">
      <alignment horizontal="right" vertical="center" wrapText="1"/>
    </xf>
    <xf numFmtId="165" fontId="139" fillId="20" borderId="0" xfId="1" applyNumberFormat="1" applyFont="1" applyFill="1" applyBorder="1" applyAlignment="1" applyProtection="1">
      <alignment horizontal="center" vertical="center"/>
    </xf>
    <xf numFmtId="165" fontId="139" fillId="20" borderId="108" xfId="1" applyNumberFormat="1" applyFont="1" applyFill="1" applyBorder="1" applyAlignment="1" applyProtection="1">
      <alignment horizontal="center" vertical="center"/>
    </xf>
    <xf numFmtId="0" fontId="109" fillId="20" borderId="0" xfId="0" applyFont="1" applyFill="1" applyAlignment="1">
      <alignment horizontal="left" vertical="center"/>
    </xf>
    <xf numFmtId="0" fontId="109" fillId="20" borderId="90" xfId="0" applyFont="1" applyFill="1" applyBorder="1" applyAlignment="1">
      <alignment horizontal="left" vertical="center"/>
    </xf>
    <xf numFmtId="0" fontId="109" fillId="20" borderId="108" xfId="0" applyFont="1" applyFill="1" applyBorder="1" applyAlignment="1">
      <alignment horizontal="left" vertical="center"/>
    </xf>
    <xf numFmtId="0" fontId="109" fillId="20" borderId="109" xfId="0" applyFont="1" applyFill="1" applyBorder="1" applyAlignment="1">
      <alignment horizontal="left" vertical="center"/>
    </xf>
    <xf numFmtId="0" fontId="111" fillId="20" borderId="0" xfId="0" applyFont="1" applyFill="1" applyAlignment="1">
      <alignment horizontal="left" vertical="top" wrapText="1"/>
    </xf>
    <xf numFmtId="0" fontId="111" fillId="19" borderId="141" xfId="0" applyFont="1" applyFill="1" applyBorder="1" applyAlignment="1">
      <alignment horizontal="center" vertical="center" wrapText="1"/>
    </xf>
    <xf numFmtId="0" fontId="111" fillId="19" borderId="146" xfId="0" applyFont="1" applyFill="1" applyBorder="1" applyAlignment="1">
      <alignment horizontal="center" vertical="center" wrapText="1"/>
    </xf>
    <xf numFmtId="9" fontId="109" fillId="9" borderId="143" xfId="10" applyFont="1" applyFill="1" applyBorder="1" applyAlignment="1" applyProtection="1">
      <alignment horizontal="right" vertical="center" wrapText="1"/>
      <protection locked="0"/>
    </xf>
    <xf numFmtId="9" fontId="109" fillId="9" borderId="144" xfId="10" applyFont="1" applyFill="1" applyBorder="1" applyAlignment="1" applyProtection="1">
      <alignment horizontal="right" vertical="center" wrapText="1"/>
      <protection locked="0"/>
    </xf>
    <xf numFmtId="9" fontId="109" fillId="9" borderId="145" xfId="10" applyFont="1" applyFill="1" applyBorder="1" applyAlignment="1" applyProtection="1">
      <alignment horizontal="right" vertical="center" wrapText="1"/>
      <protection locked="0"/>
    </xf>
    <xf numFmtId="0" fontId="110" fillId="20" borderId="0" xfId="0" applyFont="1" applyFill="1" applyAlignment="1">
      <alignment horizontal="left" vertical="center" wrapText="1"/>
    </xf>
    <xf numFmtId="0" fontId="73" fillId="19" borderId="147" xfId="0" applyFont="1" applyFill="1" applyBorder="1" applyAlignment="1">
      <alignment horizontal="right" vertical="center" wrapText="1"/>
    </xf>
    <xf numFmtId="0" fontId="73" fillId="19" borderId="148" xfId="0" applyFont="1" applyFill="1" applyBorder="1" applyAlignment="1">
      <alignment horizontal="right" vertical="center" wrapText="1"/>
    </xf>
    <xf numFmtId="0" fontId="73" fillId="19" borderId="149" xfId="0" applyFont="1" applyFill="1" applyBorder="1" applyAlignment="1">
      <alignment horizontal="right" vertical="center" wrapText="1"/>
    </xf>
    <xf numFmtId="0" fontId="106" fillId="20" borderId="0" xfId="0" applyFont="1" applyFill="1" applyAlignment="1">
      <alignment horizontal="left" vertical="center" wrapText="1"/>
    </xf>
    <xf numFmtId="0" fontId="140" fillId="20" borderId="4" xfId="0" applyFont="1" applyFill="1" applyBorder="1" applyAlignment="1">
      <alignment horizontal="left" vertical="center" wrapText="1" indent="1"/>
    </xf>
    <xf numFmtId="0" fontId="140" fillId="20" borderId="5" xfId="0" applyFont="1" applyFill="1" applyBorder="1" applyAlignment="1">
      <alignment horizontal="left" vertical="center" wrapText="1" indent="1"/>
    </xf>
    <xf numFmtId="0" fontId="140" fillId="20" borderId="6" xfId="0" applyFont="1" applyFill="1" applyBorder="1" applyAlignment="1">
      <alignment horizontal="left" vertical="center" wrapText="1" indent="1"/>
    </xf>
    <xf numFmtId="0" fontId="140" fillId="20" borderId="7" xfId="0" applyFont="1" applyFill="1" applyBorder="1" applyAlignment="1">
      <alignment horizontal="left" vertical="center" wrapText="1" indent="1"/>
    </xf>
    <xf numFmtId="0" fontId="140" fillId="20" borderId="0" xfId="0" applyFont="1" applyFill="1" applyAlignment="1">
      <alignment horizontal="left" vertical="center" wrapText="1" indent="1"/>
    </xf>
    <xf numFmtId="0" fontId="140" fillId="20" borderId="8" xfId="0" applyFont="1" applyFill="1" applyBorder="1" applyAlignment="1">
      <alignment horizontal="left" vertical="center" wrapText="1" indent="1"/>
    </xf>
    <xf numFmtId="167" fontId="59" fillId="19" borderId="84" xfId="1" applyNumberFormat="1" applyFont="1" applyFill="1" applyBorder="1" applyAlignment="1">
      <alignment horizontal="center" vertical="center"/>
    </xf>
    <xf numFmtId="167" fontId="59" fillId="19" borderId="83" xfId="1" applyNumberFormat="1" applyFont="1" applyFill="1" applyBorder="1" applyAlignment="1">
      <alignment horizontal="center" vertical="center"/>
    </xf>
    <xf numFmtId="0" fontId="56" fillId="19" borderId="82" xfId="0" applyFont="1" applyFill="1" applyBorder="1" applyAlignment="1">
      <alignment horizontal="center" vertical="center"/>
    </xf>
    <xf numFmtId="0" fontId="56" fillId="19" borderId="83" xfId="0" applyFont="1" applyFill="1" applyBorder="1" applyAlignment="1">
      <alignment horizontal="center" vertical="center"/>
    </xf>
    <xf numFmtId="170" fontId="64" fillId="19" borderId="82" xfId="1" applyNumberFormat="1" applyFont="1" applyFill="1" applyBorder="1" applyAlignment="1">
      <alignment horizontal="center" vertical="center"/>
    </xf>
    <xf numFmtId="170" fontId="64" fillId="19" borderId="83" xfId="1" applyNumberFormat="1" applyFont="1" applyFill="1" applyBorder="1" applyAlignment="1">
      <alignment horizontal="center" vertical="center"/>
    </xf>
    <xf numFmtId="0" fontId="60" fillId="19" borderId="0" xfId="0" applyFont="1" applyFill="1" applyAlignment="1">
      <alignment horizontal="left" vertical="center" wrapText="1"/>
    </xf>
    <xf numFmtId="167" fontId="59" fillId="19" borderId="82" xfId="1" applyNumberFormat="1" applyFont="1" applyFill="1" applyBorder="1" applyAlignment="1">
      <alignment horizontal="center" vertical="center"/>
    </xf>
    <xf numFmtId="0" fontId="10" fillId="7" borderId="4" xfId="0" applyFont="1" applyFill="1" applyBorder="1" applyAlignment="1">
      <alignment horizontal="center"/>
    </xf>
    <xf numFmtId="0" fontId="10" fillId="7" borderId="7" xfId="0" applyFont="1" applyFill="1" applyBorder="1" applyAlignment="1">
      <alignment horizontal="center"/>
    </xf>
    <xf numFmtId="0" fontId="10" fillId="7" borderId="5" xfId="5" applyFont="1" applyFill="1" applyBorder="1" applyAlignment="1">
      <alignment horizontal="left"/>
    </xf>
    <xf numFmtId="0" fontId="10" fillId="7" borderId="0" xfId="5" applyFont="1" applyFill="1" applyBorder="1" applyAlignment="1">
      <alignment horizontal="left"/>
    </xf>
    <xf numFmtId="0" fontId="35" fillId="14" borderId="38" xfId="0" applyFont="1" applyFill="1" applyBorder="1" applyAlignment="1">
      <alignment horizontal="center" vertical="center" wrapText="1"/>
    </xf>
    <xf numFmtId="0" fontId="35" fillId="14" borderId="39" xfId="0" applyFont="1" applyFill="1" applyBorder="1" applyAlignment="1">
      <alignment horizontal="center" vertical="center" wrapText="1"/>
    </xf>
    <xf numFmtId="0" fontId="35" fillId="14" borderId="22" xfId="0" applyFont="1" applyFill="1" applyBorder="1" applyAlignment="1">
      <alignment horizontal="center" vertical="center" wrapText="1"/>
    </xf>
    <xf numFmtId="0" fontId="35" fillId="14" borderId="40" xfId="0" applyFont="1" applyFill="1" applyBorder="1" applyAlignment="1">
      <alignment horizontal="center" vertical="center" wrapText="1"/>
    </xf>
    <xf numFmtId="0" fontId="0" fillId="9" borderId="28" xfId="0" applyFill="1" applyBorder="1" applyAlignment="1">
      <alignment horizontal="center" vertical="center"/>
    </xf>
    <xf numFmtId="0" fontId="0" fillId="9" borderId="26" xfId="0" applyFill="1" applyBorder="1" applyAlignment="1">
      <alignment horizontal="center" vertical="center"/>
    </xf>
    <xf numFmtId="0" fontId="35" fillId="14" borderId="36" xfId="0" applyFont="1" applyFill="1" applyBorder="1" applyAlignment="1">
      <alignment horizontal="center" vertical="center"/>
    </xf>
    <xf numFmtId="0" fontId="35" fillId="14" borderId="37" xfId="0" applyFont="1" applyFill="1" applyBorder="1" applyAlignment="1">
      <alignment horizontal="center" vertical="center"/>
    </xf>
    <xf numFmtId="0" fontId="35" fillId="14" borderId="34" xfId="0" applyFont="1" applyFill="1" applyBorder="1" applyAlignment="1">
      <alignment horizontal="center" vertical="center"/>
    </xf>
    <xf numFmtId="0" fontId="35" fillId="14" borderId="32" xfId="0" applyFont="1" applyFill="1" applyBorder="1" applyAlignment="1">
      <alignment horizontal="center" vertical="center"/>
    </xf>
    <xf numFmtId="0" fontId="35" fillId="14" borderId="4" xfId="0" applyFont="1" applyFill="1" applyBorder="1" applyAlignment="1">
      <alignment horizontal="center" vertical="center"/>
    </xf>
    <xf numFmtId="0" fontId="35" fillId="14" borderId="7" xfId="0" applyFont="1" applyFill="1" applyBorder="1" applyAlignment="1">
      <alignment horizontal="center" vertical="center"/>
    </xf>
    <xf numFmtId="0" fontId="35" fillId="14" borderId="31" xfId="0" applyFont="1" applyFill="1" applyBorder="1" applyAlignment="1">
      <alignment horizontal="center" vertical="center"/>
    </xf>
    <xf numFmtId="0" fontId="0" fillId="9" borderId="29" xfId="0" applyFill="1" applyBorder="1" applyAlignment="1">
      <alignment horizontal="center" vertical="center"/>
    </xf>
    <xf numFmtId="0" fontId="1" fillId="9" borderId="35" xfId="0" applyFont="1" applyFill="1" applyBorder="1" applyAlignment="1">
      <alignment horizontal="center" vertical="center" textRotation="255" wrapText="1"/>
    </xf>
    <xf numFmtId="0" fontId="1" fillId="9" borderId="50" xfId="0" applyFont="1" applyFill="1" applyBorder="1" applyAlignment="1">
      <alignment horizontal="center" vertical="center" textRotation="255" wrapText="1"/>
    </xf>
    <xf numFmtId="0" fontId="1" fillId="9" borderId="51" xfId="0" applyFont="1" applyFill="1" applyBorder="1" applyAlignment="1">
      <alignment horizontal="center" vertical="center" textRotation="255" wrapText="1"/>
    </xf>
    <xf numFmtId="0" fontId="3" fillId="9" borderId="35" xfId="0" applyFont="1" applyFill="1" applyBorder="1" applyAlignment="1">
      <alignment horizontal="center" vertical="center" textRotation="255"/>
    </xf>
    <xf numFmtId="0" fontId="3" fillId="9" borderId="50" xfId="0" applyFont="1" applyFill="1" applyBorder="1" applyAlignment="1">
      <alignment horizontal="center" vertical="center" textRotation="255"/>
    </xf>
    <xf numFmtId="0" fontId="3" fillId="9" borderId="51" xfId="0" applyFont="1" applyFill="1" applyBorder="1" applyAlignment="1">
      <alignment horizontal="center" vertical="center" textRotation="255"/>
    </xf>
    <xf numFmtId="0" fontId="0" fillId="16" borderId="0" xfId="0" applyFill="1" applyAlignment="1">
      <alignment horizontal="center"/>
    </xf>
    <xf numFmtId="0" fontId="10" fillId="13" borderId="5" xfId="5" applyFont="1" applyFill="1" applyBorder="1" applyAlignment="1">
      <alignment horizontal="left" wrapText="1"/>
    </xf>
    <xf numFmtId="0" fontId="10" fillId="13" borderId="6" xfId="5" applyFont="1" applyFill="1" applyBorder="1" applyAlignment="1">
      <alignment horizontal="left" wrapText="1"/>
    </xf>
    <xf numFmtId="0" fontId="1" fillId="10" borderId="64" xfId="0" applyFont="1" applyFill="1" applyBorder="1" applyAlignment="1">
      <alignment horizontal="left" vertical="center"/>
    </xf>
    <xf numFmtId="0" fontId="1" fillId="10" borderId="21" xfId="0" applyFont="1" applyFill="1" applyBorder="1" applyAlignment="1">
      <alignment horizontal="left" vertical="center"/>
    </xf>
    <xf numFmtId="0" fontId="1" fillId="10" borderId="66" xfId="0" applyFont="1" applyFill="1" applyBorder="1" applyAlignment="1">
      <alignment horizontal="left" vertical="center"/>
    </xf>
    <xf numFmtId="0" fontId="1" fillId="10" borderId="16" xfId="0" applyFont="1" applyFill="1" applyBorder="1" applyAlignment="1">
      <alignment horizontal="left" vertical="center"/>
    </xf>
    <xf numFmtId="0" fontId="39" fillId="10" borderId="66" xfId="0" applyFont="1" applyFill="1" applyBorder="1" applyAlignment="1">
      <alignment horizontal="right"/>
    </xf>
    <xf numFmtId="0" fontId="39" fillId="10" borderId="16" xfId="0" applyFont="1" applyFill="1" applyBorder="1" applyAlignment="1">
      <alignment horizontal="right"/>
    </xf>
    <xf numFmtId="0" fontId="39" fillId="10" borderId="71" xfId="0" applyFont="1" applyFill="1" applyBorder="1" applyAlignment="1">
      <alignment horizontal="right"/>
    </xf>
    <xf numFmtId="0" fontId="0" fillId="14" borderId="27" xfId="0" applyFill="1" applyBorder="1" applyAlignment="1">
      <alignment horizontal="center"/>
    </xf>
    <xf numFmtId="0" fontId="0" fillId="14" borderId="21" xfId="0" applyFill="1" applyBorder="1" applyAlignment="1">
      <alignment horizontal="center"/>
    </xf>
    <xf numFmtId="0" fontId="0" fillId="14" borderId="74" xfId="0" applyFill="1" applyBorder="1" applyAlignment="1">
      <alignment horizontal="center"/>
    </xf>
    <xf numFmtId="0" fontId="0" fillId="14" borderId="76" xfId="0" applyFill="1" applyBorder="1" applyAlignment="1">
      <alignment horizontal="center"/>
    </xf>
    <xf numFmtId="0" fontId="0" fillId="14" borderId="10" xfId="0" applyFill="1" applyBorder="1" applyAlignment="1">
      <alignment horizontal="center"/>
    </xf>
    <xf numFmtId="0" fontId="0" fillId="14" borderId="11" xfId="0" applyFill="1" applyBorder="1" applyAlignment="1">
      <alignment horizontal="center"/>
    </xf>
    <xf numFmtId="0" fontId="54" fillId="19" borderId="0" xfId="9" applyFill="1" applyBorder="1" applyAlignment="1">
      <alignment horizontal="left" vertical="center"/>
    </xf>
  </cellXfs>
  <cellStyles count="14">
    <cellStyle name="Data Labels" xfId="9" xr:uid="{00000000-0005-0000-0000-000000000000}"/>
    <cellStyle name="Hyperkobling" xfId="6" builtinId="8"/>
    <cellStyle name="Komma" xfId="1" builtinId="3"/>
    <cellStyle name="Normal" xfId="0" builtinId="0"/>
    <cellStyle name="Nøytral" xfId="12" builtinId="28"/>
    <cellStyle name="Overskrift 1" xfId="3" builtinId="16"/>
    <cellStyle name="Overskrift 2" xfId="4" builtinId="17"/>
    <cellStyle name="Overskrift 3" xfId="7" builtinId="18"/>
    <cellStyle name="Overskrift 4" xfId="8" builtinId="19"/>
    <cellStyle name="Prosent" xfId="10" builtinId="5"/>
    <cellStyle name="Stil 1" xfId="11" xr:uid="{00000000-0005-0000-0000-00000A000000}"/>
    <cellStyle name="Tittel" xfId="2" builtinId="15"/>
    <cellStyle name="Uthevingsfarge1" xfId="5" builtinId="29"/>
    <cellStyle name="Varseltekst" xfId="13" builtinId="11"/>
  </cellStyles>
  <dxfs count="12">
    <dxf>
      <numFmt numFmtId="167" formatCode="0.0"/>
      <alignment textRotation="0" wrapText="1" indent="0" justifyLastLine="0" shrinkToFit="0" readingOrder="0"/>
    </dxf>
    <dxf>
      <numFmt numFmtId="167" formatCode="0.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strike val="0"/>
        <condense val="0"/>
        <extend val="0"/>
        <outline val="0"/>
        <shadow val="0"/>
        <u val="none"/>
        <vertAlign val="baseline"/>
        <sz val="10"/>
        <color theme="1"/>
        <name val="Cambria"/>
        <scheme val="none"/>
      </font>
      <alignment horizontal="center" vertical="center" textRotation="0" wrapText="0" indent="0" justifyLastLine="0" shrinkToFit="0" readingOrder="0"/>
    </dxf>
    <dxf>
      <numFmt numFmtId="167" formatCode="0.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strike val="0"/>
        <condense val="0"/>
        <extend val="0"/>
        <outline val="0"/>
        <shadow val="0"/>
        <u val="none"/>
        <vertAlign val="baseline"/>
        <sz val="10"/>
        <color theme="1"/>
        <name val="Cambria"/>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Cambria"/>
        <scheme val="none"/>
      </font>
      <alignment horizontal="general" vertical="center" textRotation="0" wrapText="0" indent="0" justifyLastLine="0" shrinkToFit="0" readingOrder="0"/>
    </dxf>
  </dxfs>
  <tableStyles count="0" defaultTableStyle="TableStyleMedium2" defaultPivotStyle="PivotStyleLight16"/>
  <colors>
    <mruColors>
      <color rgb="FFFA7D00"/>
      <color rgb="FFFFCC99"/>
      <color rgb="FF9933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nb-NO"/>
              <a:t>Nedre grense for grunnflatesum etter tynning for god arealavkastning ved hovedhogst</a:t>
            </a:r>
          </a:p>
        </c:rich>
      </c:tx>
      <c:layout>
        <c:manualLayout>
          <c:xMode val="edge"/>
          <c:yMode val="edge"/>
          <c:x val="0.14148441436167236"/>
          <c:y val="7.9224059704708083E-3"/>
        </c:manualLayout>
      </c:layout>
      <c:overlay val="0"/>
      <c:spPr>
        <a:solidFill>
          <a:schemeClr val="bg1"/>
        </a:solidFill>
        <a:ln w="25400">
          <a:solidFill>
            <a:schemeClr val="bg1">
              <a:lumMod val="85000"/>
            </a:schemeClr>
          </a:solidFill>
        </a:ln>
        <a:scene3d>
          <a:camera prst="orthographicFront"/>
          <a:lightRig rig="threePt" dir="t">
            <a:rot lat="0" lon="0" rev="0"/>
          </a:lightRig>
        </a:scene3d>
        <a:sp3d>
          <a:bevelT/>
        </a:sp3d>
      </c:spPr>
    </c:title>
    <c:autoTitleDeleted val="0"/>
    <c:plotArea>
      <c:layout>
        <c:manualLayout>
          <c:layoutTarget val="inner"/>
          <c:xMode val="edge"/>
          <c:yMode val="edge"/>
          <c:x val="0.12383910289212377"/>
          <c:y val="9.5238372042329461E-2"/>
          <c:w val="0.83436595573568395"/>
          <c:h val="0.72321638769643937"/>
        </c:manualLayout>
      </c:layout>
      <c:lineChart>
        <c:grouping val="standard"/>
        <c:varyColors val="0"/>
        <c:ser>
          <c:idx val="1"/>
          <c:order val="0"/>
          <c:tx>
            <c:strRef>
              <c:f>'HJELPETAB. TYNNING OG SKOGFOND'!$A$5</c:f>
              <c:strCache>
                <c:ptCount val="1"/>
                <c:pt idx="0">
                  <c:v>20</c:v>
                </c:pt>
              </c:strCache>
            </c:strRef>
          </c:tx>
          <c:spPr>
            <a:ln w="38100">
              <a:solidFill>
                <a:schemeClr val="accent3">
                  <a:lumMod val="60000"/>
                  <a:lumOff val="40000"/>
                </a:schemeClr>
              </a:solidFill>
              <a:prstDash val="solid"/>
            </a:ln>
          </c:spPr>
          <c:marker>
            <c:symbol val="square"/>
            <c:size val="5"/>
            <c:spPr>
              <a:noFill/>
              <a:ln w="9525">
                <a:noFill/>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SKOGFOND'!$B$5:$H$5</c:f>
              <c:numCache>
                <c:formatCode>General</c:formatCode>
                <c:ptCount val="7"/>
                <c:pt idx="2">
                  <c:v>26.815999999999999</c:v>
                </c:pt>
                <c:pt idx="3">
                  <c:v>27.847999999999999</c:v>
                </c:pt>
                <c:pt idx="4">
                  <c:v>28.88</c:v>
                </c:pt>
                <c:pt idx="5">
                  <c:v>29.911999999999999</c:v>
                </c:pt>
                <c:pt idx="6">
                  <c:v>30.943999999999999</c:v>
                </c:pt>
              </c:numCache>
            </c:numRef>
          </c:val>
          <c:smooth val="0"/>
          <c:extLst>
            <c:ext xmlns:c16="http://schemas.microsoft.com/office/drawing/2014/chart" uri="{C3380CC4-5D6E-409C-BE32-E72D297353CC}">
              <c16:uniqueId val="{00000000-B80F-4D40-9F9E-611550A59DC0}"/>
            </c:ext>
          </c:extLst>
        </c:ser>
        <c:ser>
          <c:idx val="4"/>
          <c:order val="1"/>
          <c:tx>
            <c:strRef>
              <c:f>'HJELPETAB. TYNNING OG SKOGFOND'!$A$6</c:f>
              <c:strCache>
                <c:ptCount val="1"/>
                <c:pt idx="0">
                  <c:v>15</c:v>
                </c:pt>
              </c:strCache>
            </c:strRef>
          </c:tx>
          <c:spPr>
            <a:ln w="38100">
              <a:solidFill>
                <a:schemeClr val="accent3">
                  <a:lumMod val="50000"/>
                </a:schemeClr>
              </a:solidFill>
              <a:prstDash val="solid"/>
            </a:ln>
          </c:spPr>
          <c:marker>
            <c:symbol val="none"/>
          </c:marker>
          <c:val>
            <c:numRef>
              <c:f>'HJELPETAB. TYNNING OG SKOGFOND'!$B$6:$H$6</c:f>
              <c:numCache>
                <c:formatCode>General</c:formatCode>
                <c:ptCount val="7"/>
                <c:pt idx="0">
                  <c:v>15.760000000000002</c:v>
                </c:pt>
                <c:pt idx="1">
                  <c:v>16.720000000000002</c:v>
                </c:pt>
                <c:pt idx="2">
                  <c:v>17.68</c:v>
                </c:pt>
                <c:pt idx="3">
                  <c:v>18.64</c:v>
                </c:pt>
                <c:pt idx="4">
                  <c:v>19.600000000000001</c:v>
                </c:pt>
              </c:numCache>
            </c:numRef>
          </c:val>
          <c:smooth val="0"/>
          <c:extLst>
            <c:ext xmlns:c16="http://schemas.microsoft.com/office/drawing/2014/chart" uri="{C3380CC4-5D6E-409C-BE32-E72D297353CC}">
              <c16:uniqueId val="{00000001-B80F-4D40-9F9E-611550A59DC0}"/>
            </c:ext>
          </c:extLst>
        </c:ser>
        <c:ser>
          <c:idx val="3"/>
          <c:order val="2"/>
          <c:tx>
            <c:strRef>
              <c:f>'HJELPETAB. TYNNING OG SKOGFOND'!$A$7</c:f>
              <c:strCache>
                <c:ptCount val="1"/>
                <c:pt idx="0">
                  <c:v>20</c:v>
                </c:pt>
              </c:strCache>
            </c:strRef>
          </c:tx>
          <c:spPr>
            <a:ln w="38100">
              <a:solidFill>
                <a:schemeClr val="accent3">
                  <a:lumMod val="50000"/>
                </a:schemeClr>
              </a:solidFill>
              <a:prstDash val="solid"/>
            </a:ln>
          </c:spPr>
          <c:marker>
            <c:symbol val="square"/>
            <c:size val="5"/>
            <c:spPr>
              <a:noFill/>
              <a:ln w="9525">
                <a:noFill/>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SKOGFOND'!$B$7:$H$7</c:f>
              <c:numCache>
                <c:formatCode>General</c:formatCode>
                <c:ptCount val="7"/>
                <c:pt idx="1">
                  <c:v>20.22</c:v>
                </c:pt>
                <c:pt idx="2">
                  <c:v>21.18</c:v>
                </c:pt>
                <c:pt idx="3">
                  <c:v>22.14</c:v>
                </c:pt>
                <c:pt idx="4">
                  <c:v>23.1</c:v>
                </c:pt>
              </c:numCache>
            </c:numRef>
          </c:val>
          <c:smooth val="0"/>
          <c:extLst>
            <c:ext xmlns:c16="http://schemas.microsoft.com/office/drawing/2014/chart" uri="{C3380CC4-5D6E-409C-BE32-E72D297353CC}">
              <c16:uniqueId val="{00000002-B80F-4D40-9F9E-611550A59DC0}"/>
            </c:ext>
          </c:extLst>
        </c:ser>
        <c:ser>
          <c:idx val="6"/>
          <c:order val="3"/>
          <c:spPr>
            <a:ln w="28575">
              <a:noFill/>
            </a:ln>
          </c:spPr>
          <c:marker>
            <c:symbol val="circle"/>
            <c:size val="9"/>
            <c:spPr>
              <a:solidFill>
                <a:srgbClr val="FF0000"/>
              </a:solidFill>
              <a:ln>
                <a:solidFill>
                  <a:srgbClr val="808080"/>
                </a:solidFill>
                <a:prstDash val="solid"/>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SKOGFOND'!$B$10:$H$10</c:f>
              <c:numCache>
                <c:formatCode>General</c:formatCode>
                <c:ptCount val="7"/>
                <c:pt idx="0">
                  <c:v>0</c:v>
                </c:pt>
                <c:pt idx="1">
                  <c:v>0</c:v>
                </c:pt>
                <c:pt idx="2">
                  <c:v>0</c:v>
                </c:pt>
                <c:pt idx="3">
                  <c:v>40</c:v>
                </c:pt>
                <c:pt idx="4">
                  <c:v>0</c:v>
                </c:pt>
                <c:pt idx="5">
                  <c:v>0</c:v>
                </c:pt>
                <c:pt idx="6">
                  <c:v>0</c:v>
                </c:pt>
              </c:numCache>
            </c:numRef>
          </c:val>
          <c:smooth val="0"/>
          <c:extLst>
            <c:ext xmlns:c16="http://schemas.microsoft.com/office/drawing/2014/chart" uri="{C3380CC4-5D6E-409C-BE32-E72D297353CC}">
              <c16:uniqueId val="{00000003-B80F-4D40-9F9E-611550A59DC0}"/>
            </c:ext>
          </c:extLst>
        </c:ser>
        <c:ser>
          <c:idx val="0"/>
          <c:order val="4"/>
          <c:spPr>
            <a:ln w="28575">
              <a:noFill/>
            </a:ln>
          </c:spPr>
          <c:marker>
            <c:symbol val="circle"/>
            <c:size val="9"/>
            <c:spPr>
              <a:solidFill>
                <a:srgbClr val="FFFF00"/>
              </a:solidFill>
              <a:ln>
                <a:solidFill>
                  <a:srgbClr val="000000"/>
                </a:solidFill>
                <a:prstDash val="solid"/>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SKOGFOND'!$B$11:$H$11</c:f>
              <c:numCache>
                <c:formatCode>General</c:formatCode>
                <c:ptCount val="7"/>
                <c:pt idx="0">
                  <c:v>0</c:v>
                </c:pt>
                <c:pt idx="1">
                  <c:v>0</c:v>
                </c:pt>
                <c:pt idx="2">
                  <c:v>0</c:v>
                </c:pt>
                <c:pt idx="3">
                  <c:v>26</c:v>
                </c:pt>
                <c:pt idx="4">
                  <c:v>0</c:v>
                </c:pt>
                <c:pt idx="5">
                  <c:v>0</c:v>
                </c:pt>
                <c:pt idx="6">
                  <c:v>0</c:v>
                </c:pt>
              </c:numCache>
            </c:numRef>
          </c:val>
          <c:smooth val="0"/>
          <c:extLst>
            <c:ext xmlns:c16="http://schemas.microsoft.com/office/drawing/2014/chart" uri="{C3380CC4-5D6E-409C-BE32-E72D297353CC}">
              <c16:uniqueId val="{00000004-B80F-4D40-9F9E-611550A59DC0}"/>
            </c:ext>
          </c:extLst>
        </c:ser>
        <c:ser>
          <c:idx val="2"/>
          <c:order val="5"/>
          <c:tx>
            <c:strRef>
              <c:f>'HJELPETAB. TYNNING OG SKOGFOND'!$A$4</c:f>
              <c:strCache>
                <c:ptCount val="1"/>
                <c:pt idx="0">
                  <c:v>15</c:v>
                </c:pt>
              </c:strCache>
            </c:strRef>
          </c:tx>
          <c:spPr>
            <a:ln w="38100">
              <a:solidFill>
                <a:schemeClr val="accent3">
                  <a:lumMod val="60000"/>
                  <a:lumOff val="40000"/>
                </a:schemeClr>
              </a:solidFill>
              <a:prstDash val="solid"/>
            </a:ln>
          </c:spPr>
          <c:marker>
            <c:symbol val="none"/>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SKOGFOND'!$B$4:$H$4</c:f>
              <c:numCache>
                <c:formatCode>General</c:formatCode>
                <c:ptCount val="7"/>
                <c:pt idx="1">
                  <c:v>21.684000000000001</c:v>
                </c:pt>
                <c:pt idx="2">
                  <c:v>22.716000000000001</c:v>
                </c:pt>
                <c:pt idx="3">
                  <c:v>23.748000000000001</c:v>
                </c:pt>
                <c:pt idx="4">
                  <c:v>24.78</c:v>
                </c:pt>
                <c:pt idx="5">
                  <c:v>25.812000000000001</c:v>
                </c:pt>
                <c:pt idx="6">
                  <c:v>26.844000000000001</c:v>
                </c:pt>
              </c:numCache>
            </c:numRef>
          </c:val>
          <c:smooth val="0"/>
          <c:extLst>
            <c:ext xmlns:c16="http://schemas.microsoft.com/office/drawing/2014/chart" uri="{C3380CC4-5D6E-409C-BE32-E72D297353CC}">
              <c16:uniqueId val="{00000005-B80F-4D40-9F9E-611550A59DC0}"/>
            </c:ext>
          </c:extLst>
        </c:ser>
        <c:dLbls>
          <c:showLegendKey val="0"/>
          <c:showVal val="0"/>
          <c:showCatName val="0"/>
          <c:showSerName val="0"/>
          <c:showPercent val="0"/>
          <c:showBubbleSize val="0"/>
        </c:dLbls>
        <c:marker val="1"/>
        <c:smooth val="0"/>
        <c:axId val="590405336"/>
        <c:axId val="1"/>
      </c:lineChart>
      <c:catAx>
        <c:axId val="590405336"/>
        <c:scaling>
          <c:orientation val="minMax"/>
        </c:scaling>
        <c:delete val="0"/>
        <c:axPos val="b"/>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nb-NO"/>
                  <a:t>Bonitet</a:t>
                </a:r>
              </a:p>
            </c:rich>
          </c:tx>
          <c:layout>
            <c:manualLayout>
              <c:xMode val="edge"/>
              <c:yMode val="edge"/>
              <c:x val="0.49845226513077956"/>
              <c:y val="0.91071667914709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45"/>
          <c:min val="15"/>
        </c:scaling>
        <c:delete val="0"/>
        <c:axPos val="l"/>
        <c:majorGridlines>
          <c:spPr>
            <a:ln w="1270">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nb-NO"/>
                  <a:t>Grunnflatesum m</a:t>
                </a:r>
                <a:r>
                  <a:rPr lang="nb-NO" baseline="30000"/>
                  <a:t>2</a:t>
                </a:r>
                <a:r>
                  <a:rPr lang="nb-NO"/>
                  <a:t>/ha</a:t>
                </a:r>
              </a:p>
            </c:rich>
          </c:tx>
          <c:layout>
            <c:manualLayout>
              <c:xMode val="edge"/>
              <c:yMode val="edge"/>
              <c:x val="2.1671747374247083E-2"/>
              <c:y val="0.223214807082832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590405336"/>
        <c:crosses val="autoZero"/>
        <c:crossBetween val="midCat"/>
      </c:valAx>
      <c:spPr>
        <a:noFill/>
        <a:ln w="25400">
          <a:noFill/>
        </a:ln>
      </c:spPr>
    </c:plotArea>
    <c:plotVisOnly val="1"/>
    <c:dispBlanksAs val="gap"/>
    <c:showDLblsOverMax val="0"/>
  </c:chart>
  <c:spPr>
    <a:solidFill>
      <a:srgbClr val="FFFFFF"/>
    </a:solidFill>
    <a:ln w="9525">
      <a:solidFill>
        <a:schemeClr val="bg1">
          <a:lumMod val="85000"/>
        </a:schemeClr>
      </a:solidFill>
    </a:ln>
    <a:scene3d>
      <a:camera prst="orthographicFront"/>
      <a:lightRig rig="threePt" dir="t"/>
    </a:scene3d>
    <a:sp3d>
      <a:bevelT/>
    </a:sp3d>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nb-NO" sz="1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defRPr>
            </a:pPr>
            <a:r>
              <a:rPr lang="nb-NO" sz="1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rPr>
              <a:t>PRODUKTIVITET</a:t>
            </a:r>
          </a:p>
        </c:rich>
      </c:tx>
      <c:layout>
        <c:manualLayout>
          <c:xMode val="edge"/>
          <c:yMode val="edge"/>
          <c:x val="0.24907588014403761"/>
          <c:y val="3.1368718196154179E-3"/>
        </c:manualLayout>
      </c:layout>
      <c:overlay val="0"/>
      <c:spPr>
        <a:noFill/>
        <a:ln>
          <a:noFill/>
        </a:ln>
        <a:effectLst/>
      </c:spPr>
      <c:txPr>
        <a:bodyPr rot="0" spcFirstLastPara="1" vertOverflow="ellipsis" vert="horz" wrap="square" anchor="ctr" anchorCtr="1"/>
        <a:lstStyle/>
        <a:p>
          <a:pPr algn="ctr" rtl="0">
            <a:defRPr lang="nb-NO" sz="1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defRPr>
          </a:pPr>
          <a:endParaRPr lang="en-US"/>
        </a:p>
      </c:txPr>
    </c:title>
    <c:autoTitleDeleted val="0"/>
    <c:plotArea>
      <c:layout>
        <c:manualLayout>
          <c:layoutTarget val="inner"/>
          <c:xMode val="edge"/>
          <c:yMode val="edge"/>
          <c:x val="0.1580107754919215"/>
          <c:y val="0.11875935879893113"/>
          <c:w val="0.68726833125628084"/>
          <c:h val="0.80593653466956261"/>
        </c:manualLayout>
      </c:layout>
      <c:pieChart>
        <c:varyColors val="1"/>
        <c:ser>
          <c:idx val="1"/>
          <c:order val="1"/>
          <c:tx>
            <c:strRef>
              <c:f>MASKINPRODUKTIVITET!$W$8</c:f>
              <c:strCache>
                <c:ptCount val="1"/>
                <c:pt idx="0">
                  <c:v>Måler</c:v>
                </c:pt>
              </c:strCache>
            </c:strRef>
          </c:tx>
          <c:spPr>
            <a:solidFill>
              <a:schemeClr val="bg1">
                <a:lumMod val="95000"/>
              </a:schemeClr>
            </a:solidFill>
            <a:ln>
              <a:noFill/>
            </a:ln>
          </c:spPr>
          <c:explosion val="50"/>
          <c:dPt>
            <c:idx val="0"/>
            <c:bubble3D val="0"/>
            <c:spPr>
              <a:solidFill>
                <a:schemeClr val="bg1">
                  <a:lumMod val="95000"/>
                </a:schemeClr>
              </a:solidFill>
              <a:ln w="9525">
                <a:noFill/>
              </a:ln>
              <a:effectLst/>
            </c:spPr>
            <c:extLst>
              <c:ext xmlns:c16="http://schemas.microsoft.com/office/drawing/2014/chart" uri="{C3380CC4-5D6E-409C-BE32-E72D297353CC}">
                <c16:uniqueId val="{00000001-542D-47D9-9E4D-58009F1EBAB6}"/>
              </c:ext>
            </c:extLst>
          </c:dPt>
          <c:dPt>
            <c:idx val="1"/>
            <c:bubble3D val="0"/>
            <c:spPr>
              <a:solidFill>
                <a:srgbClr val="C00000"/>
              </a:solidFill>
              <a:ln w="9525">
                <a:noFill/>
              </a:ln>
              <a:effectLst>
                <a:outerShdw blurRad="317500" sx="88000" sy="88000" algn="ctr" rotWithShape="0">
                  <a:prstClr val="black">
                    <a:alpha val="25000"/>
                  </a:prstClr>
                </a:outerShdw>
              </a:effectLst>
            </c:spPr>
            <c:extLst>
              <c:ext xmlns:c16="http://schemas.microsoft.com/office/drawing/2014/chart" uri="{C3380CC4-5D6E-409C-BE32-E72D297353CC}">
                <c16:uniqueId val="{00000003-542D-47D9-9E4D-58009F1EBAB6}"/>
              </c:ext>
            </c:extLst>
          </c:dPt>
          <c:dPt>
            <c:idx val="2"/>
            <c:bubble3D val="0"/>
            <c:spPr>
              <a:solidFill>
                <a:schemeClr val="bg1">
                  <a:lumMod val="95000"/>
                </a:schemeClr>
              </a:solidFill>
              <a:ln w="9525">
                <a:noFill/>
              </a:ln>
              <a:effectLst/>
            </c:spPr>
            <c:extLst>
              <c:ext xmlns:c16="http://schemas.microsoft.com/office/drawing/2014/chart" uri="{C3380CC4-5D6E-409C-BE32-E72D297353CC}">
                <c16:uniqueId val="{00000005-542D-47D9-9E4D-58009F1EBAB6}"/>
              </c:ext>
            </c:extLst>
          </c:dPt>
          <c:dLbls>
            <c:dLbl>
              <c:idx val="0"/>
              <c:layout>
                <c:manualLayout>
                  <c:x val="0.28207939466312509"/>
                  <c:y val="0.23837067672412104"/>
                </c:manualLayout>
              </c:layout>
              <c:tx>
                <c:rich>
                  <a:bodyPr/>
                  <a:lstStyle/>
                  <a:p>
                    <a:fld id="{EB804070-E75D-4117-956E-5EE38AA1F7B4}" type="VALUE">
                      <a:rPr lang="en-US"/>
                      <a:pPr/>
                      <a:t>[]</a:t>
                    </a:fld>
                    <a:r>
                      <a:rPr lang="en-US"/>
                      <a:t>               </a:t>
                    </a:r>
                  </a:p>
                </c:rich>
              </c:tx>
              <c:dLblPos val="bestFit"/>
              <c:showLegendKey val="0"/>
              <c:showVal val="0"/>
              <c:showCatName val="0"/>
              <c:showSerName val="0"/>
              <c:showPercent val="0"/>
              <c:showBubbleSize val="0"/>
              <c:extLst>
                <c:ext xmlns:c15="http://schemas.microsoft.com/office/drawing/2012/chart" uri="{CE6537A1-D6FC-4f65-9D91-7224C49458BB}">
                  <c15:layout>
                    <c:manualLayout>
                      <c:w val="0.44866779014095509"/>
                      <c:h val="0.17081432221190887"/>
                    </c:manualLayout>
                  </c15:layout>
                  <c15:dlblFieldTable/>
                  <c15:showDataLabelsRange val="0"/>
                </c:ext>
                <c:ext xmlns:c16="http://schemas.microsoft.com/office/drawing/2014/chart" uri="{C3380CC4-5D6E-409C-BE32-E72D297353CC}">
                  <c16:uniqueId val="{00000001-542D-47D9-9E4D-58009F1EBAB6}"/>
                </c:ext>
              </c:extLst>
            </c:dLbl>
            <c:dLbl>
              <c:idx val="1"/>
              <c:delete val="1"/>
              <c:extLst>
                <c:ext xmlns:c15="http://schemas.microsoft.com/office/drawing/2012/chart" uri="{CE6537A1-D6FC-4f65-9D91-7224C49458BB}"/>
                <c:ext xmlns:c16="http://schemas.microsoft.com/office/drawing/2014/chart" uri="{C3380CC4-5D6E-409C-BE32-E72D297353CC}">
                  <c16:uniqueId val="{00000003-542D-47D9-9E4D-58009F1EBAB6}"/>
                </c:ext>
              </c:extLst>
            </c:dLbl>
            <c:dLbl>
              <c:idx val="2"/>
              <c:delete val="1"/>
              <c:extLst>
                <c:ext xmlns:c15="http://schemas.microsoft.com/office/drawing/2012/chart" uri="{CE6537A1-D6FC-4f65-9D91-7224C49458BB}"/>
                <c:ext xmlns:c16="http://schemas.microsoft.com/office/drawing/2014/chart" uri="{C3380CC4-5D6E-409C-BE32-E72D297353CC}">
                  <c16:uniqueId val="{00000005-542D-47D9-9E4D-58009F1EBAB6}"/>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rtl="0">
                  <a:defRPr lang="nb-NO" sz="4000" b="1" i="0" u="none" strike="noStrike" kern="1200" baseline="0">
                    <a:solidFill>
                      <a:schemeClr val="tx2">
                        <a:lumMod val="75000"/>
                      </a:schemeClr>
                    </a:solidFill>
                    <a:latin typeface="+mn-lt"/>
                    <a:ea typeface="+mn-ea"/>
                    <a:cs typeface="+mn-cs"/>
                  </a:defRPr>
                </a:pPr>
                <a:endParaRPr lang="en-US"/>
              </a:p>
            </c:txPr>
            <c:showLegendKey val="0"/>
            <c:showVal val="0"/>
            <c:showCatName val="0"/>
            <c:showSerName val="0"/>
            <c:showPercent val="0"/>
            <c:showBubbleSize val="0"/>
            <c:showLeaderLines val="1"/>
            <c:leaderLines>
              <c:spPr>
                <a:ln>
                  <a:noFill/>
                </a:ln>
                <a:effectLst/>
              </c:spPr>
            </c:leaderLines>
            <c:extLst>
              <c:ext xmlns:c15="http://schemas.microsoft.com/office/drawing/2012/chart" uri="{CE6537A1-D6FC-4f65-9D91-7224C49458BB}">
                <c15:showDataLabelsRange val="1"/>
              </c:ext>
            </c:extLst>
          </c:dLbls>
          <c:cat>
            <c:numRef>
              <c:f>MASKINPRODUKTIVITET!$X$9:$X$11</c:f>
              <c:numCache>
                <c:formatCode>General</c:formatCode>
                <c:ptCount val="3"/>
                <c:pt idx="0" formatCode="0.00">
                  <c:v>11.857598727638321</c:v>
                </c:pt>
                <c:pt idx="1">
                  <c:v>1</c:v>
                </c:pt>
                <c:pt idx="2">
                  <c:v>87.142401272361681</c:v>
                </c:pt>
              </c:numCache>
            </c:numRef>
          </c:cat>
          <c:val>
            <c:numRef>
              <c:f>MASKINPRODUKTIVITET!$X$9:$X$11</c:f>
              <c:numCache>
                <c:formatCode>General</c:formatCode>
                <c:ptCount val="3"/>
                <c:pt idx="0" formatCode="0.00">
                  <c:v>11.857598727638321</c:v>
                </c:pt>
                <c:pt idx="1">
                  <c:v>1</c:v>
                </c:pt>
                <c:pt idx="2">
                  <c:v>87.142401272361681</c:v>
                </c:pt>
              </c:numCache>
            </c:numRef>
          </c:val>
          <c:extLst>
            <c:ext xmlns:c16="http://schemas.microsoft.com/office/drawing/2014/chart" uri="{C3380CC4-5D6E-409C-BE32-E72D297353CC}">
              <c16:uniqueId val="{00000006-542D-47D9-9E4D-58009F1EBAB6}"/>
            </c:ext>
          </c:extLst>
        </c:ser>
        <c:dLbls>
          <c:showLegendKey val="0"/>
          <c:showVal val="0"/>
          <c:showCatName val="0"/>
          <c:showSerName val="0"/>
          <c:showPercent val="0"/>
          <c:showBubbleSize val="0"/>
          <c:showLeaderLines val="1"/>
        </c:dLbls>
        <c:firstSliceAng val="270"/>
      </c:pieChart>
      <c:doughnutChart>
        <c:varyColors val="1"/>
        <c:ser>
          <c:idx val="0"/>
          <c:order val="0"/>
          <c:tx>
            <c:strRef>
              <c:f>MASKINPRODUKTIVITET!$H$8</c:f>
              <c:strCache>
                <c:ptCount val="1"/>
                <c:pt idx="0">
                  <c:v>Prestasjon</c:v>
                </c:pt>
              </c:strCache>
            </c:strRef>
          </c:tx>
          <c:spPr>
            <a:solidFill>
              <a:schemeClr val="tx1">
                <a:alpha val="51000"/>
              </a:schemeClr>
            </a:solidFill>
            <a:ln>
              <a:noFill/>
            </a:ln>
            <a:effectLst/>
          </c:spPr>
          <c:dPt>
            <c:idx val="0"/>
            <c:bubble3D val="0"/>
            <c:spPr>
              <a:solidFill>
                <a:schemeClr val="tx1">
                  <a:alpha val="51000"/>
                </a:schemeClr>
              </a:solidFill>
              <a:ln w="9525">
                <a:noFill/>
              </a:ln>
              <a:effectLst/>
            </c:spPr>
            <c:extLst>
              <c:ext xmlns:c16="http://schemas.microsoft.com/office/drawing/2014/chart" uri="{C3380CC4-5D6E-409C-BE32-E72D297353CC}">
                <c16:uniqueId val="{00000008-542D-47D9-9E4D-58009F1EBAB6}"/>
              </c:ext>
            </c:extLst>
          </c:dPt>
          <c:dPt>
            <c:idx val="1"/>
            <c:bubble3D val="0"/>
            <c:spPr>
              <a:solidFill>
                <a:srgbClr val="FF0000">
                  <a:alpha val="60000"/>
                </a:srgbClr>
              </a:solidFill>
              <a:ln w="9525">
                <a:noFill/>
              </a:ln>
              <a:effectLst>
                <a:innerShdw blurRad="63500" dist="50800" dir="13500000">
                  <a:prstClr val="black">
                    <a:alpha val="50000"/>
                  </a:prstClr>
                </a:innerShdw>
              </a:effectLst>
            </c:spPr>
            <c:extLst>
              <c:ext xmlns:c16="http://schemas.microsoft.com/office/drawing/2014/chart" uri="{C3380CC4-5D6E-409C-BE32-E72D297353CC}">
                <c16:uniqueId val="{0000000A-542D-47D9-9E4D-58009F1EBAB6}"/>
              </c:ext>
            </c:extLst>
          </c:dPt>
          <c:dPt>
            <c:idx val="2"/>
            <c:bubble3D val="0"/>
            <c:spPr>
              <a:solidFill>
                <a:srgbClr val="FFFF00">
                  <a:alpha val="51000"/>
                </a:srgbClr>
              </a:solidFill>
              <a:ln w="9525">
                <a:noFill/>
              </a:ln>
              <a:effectLst>
                <a:innerShdw blurRad="63500" dist="50800" dir="16200000">
                  <a:prstClr val="black">
                    <a:alpha val="50000"/>
                  </a:prstClr>
                </a:innerShdw>
              </a:effectLst>
            </c:spPr>
            <c:extLst>
              <c:ext xmlns:c16="http://schemas.microsoft.com/office/drawing/2014/chart" uri="{C3380CC4-5D6E-409C-BE32-E72D297353CC}">
                <c16:uniqueId val="{0000000C-542D-47D9-9E4D-58009F1EBAB6}"/>
              </c:ext>
            </c:extLst>
          </c:dPt>
          <c:dPt>
            <c:idx val="3"/>
            <c:bubble3D val="0"/>
            <c:spPr>
              <a:solidFill>
                <a:srgbClr val="00B050">
                  <a:alpha val="51000"/>
                </a:srgbClr>
              </a:solidFill>
              <a:ln w="9525">
                <a:noFill/>
              </a:ln>
              <a:effectLst>
                <a:innerShdw blurRad="63500" dist="50800" dir="18900000">
                  <a:prstClr val="black">
                    <a:alpha val="50000"/>
                  </a:prstClr>
                </a:innerShdw>
              </a:effectLst>
            </c:spPr>
            <c:extLst>
              <c:ext xmlns:c16="http://schemas.microsoft.com/office/drawing/2014/chart" uri="{C3380CC4-5D6E-409C-BE32-E72D297353CC}">
                <c16:uniqueId val="{0000000E-542D-47D9-9E4D-58009F1EBAB6}"/>
              </c:ext>
            </c:extLst>
          </c:dPt>
          <c:dPt>
            <c:idx val="4"/>
            <c:bubble3D val="0"/>
            <c:spPr>
              <a:solidFill>
                <a:schemeClr val="bg1">
                  <a:lumMod val="95000"/>
                  <a:alpha val="51000"/>
                </a:schemeClr>
              </a:solidFill>
              <a:ln w="9525">
                <a:noFill/>
              </a:ln>
              <a:effectLst/>
            </c:spPr>
            <c:extLst>
              <c:ext xmlns:c16="http://schemas.microsoft.com/office/drawing/2014/chart" uri="{C3380CC4-5D6E-409C-BE32-E72D297353CC}">
                <c16:uniqueId val="{00000010-542D-47D9-9E4D-58009F1EBAB6}"/>
              </c:ext>
            </c:extLst>
          </c:dPt>
          <c:dLbls>
            <c:dLbl>
              <c:idx val="0"/>
              <c:layout>
                <c:manualLayout>
                  <c:x val="-0.10644223879664108"/>
                  <c:y val="-4.7719298873421141E-3"/>
                </c:manualLayout>
              </c:layout>
              <c:showLegendKey val="0"/>
              <c:showVal val="1"/>
              <c:showCatName val="0"/>
              <c:showSerName val="0"/>
              <c:showPercent val="0"/>
              <c:showBubbleSize val="0"/>
              <c:extLst>
                <c:ext xmlns:c15="http://schemas.microsoft.com/office/drawing/2012/chart" uri="{CE6537A1-D6FC-4f65-9D91-7224C49458BB}">
                  <c15:layout>
                    <c:manualLayout>
                      <c:w val="4.4804373528064247E-2"/>
                      <c:h val="6.4298869936647407E-2"/>
                    </c:manualLayout>
                  </c15:layout>
                </c:ext>
                <c:ext xmlns:c16="http://schemas.microsoft.com/office/drawing/2014/chart" uri="{C3380CC4-5D6E-409C-BE32-E72D297353CC}">
                  <c16:uniqueId val="{00000008-542D-47D9-9E4D-58009F1EBAB6}"/>
                </c:ext>
              </c:extLst>
            </c:dLbl>
            <c:dLbl>
              <c:idx val="1"/>
              <c:layout>
                <c:manualLayout>
                  <c:x val="2.1260657568576175E-2"/>
                  <c:y val="-0.19883040581465777"/>
                </c:manualLayout>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layout>
                    <c:manualLayout>
                      <c:w val="7.127849488216885E-2"/>
                      <c:h val="6.4298869936647407E-2"/>
                    </c:manualLayout>
                  </c15:layout>
                  <c15:showDataLabelsRange val="0"/>
                </c:ext>
                <c:ext xmlns:c16="http://schemas.microsoft.com/office/drawing/2014/chart" uri="{C3380CC4-5D6E-409C-BE32-E72D297353CC}">
                  <c16:uniqueId val="{0000000A-542D-47D9-9E4D-58009F1EBAB6}"/>
                </c:ext>
              </c:extLst>
            </c:dLbl>
            <c:dLbl>
              <c:idx val="2"/>
              <c:layout>
                <c:manualLayout>
                  <c:x val="0.17370436387610361"/>
                  <c:y val="-9.7051282051282051E-2"/>
                </c:manualLayout>
              </c:layout>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15:layout>
                    <c:manualLayout>
                      <c:w val="9.2227354509551315E-2"/>
                      <c:h val="6.4298869936647407E-2"/>
                    </c:manualLayout>
                  </c15:layout>
                  <c15:showDataLabelsRange val="0"/>
                </c:ext>
                <c:ext xmlns:c16="http://schemas.microsoft.com/office/drawing/2014/chart" uri="{C3380CC4-5D6E-409C-BE32-E72D297353CC}">
                  <c16:uniqueId val="{0000000C-542D-47D9-9E4D-58009F1EBAB6}"/>
                </c:ext>
              </c:extLst>
            </c:dLbl>
            <c:dLbl>
              <c:idx val="3"/>
              <c:layout>
                <c:manualLayout>
                  <c:x val="0.18209125002585713"/>
                  <c:y val="0.16167756915001"/>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15:layout>
                    <c:manualLayout>
                      <c:w val="8.9455135831498583E-2"/>
                      <c:h val="6.3995050804311712E-2"/>
                    </c:manualLayout>
                  </c15:layout>
                  <c15:showDataLabelsRange val="0"/>
                </c:ext>
                <c:ext xmlns:c16="http://schemas.microsoft.com/office/drawing/2014/chart" uri="{C3380CC4-5D6E-409C-BE32-E72D297353CC}">
                  <c16:uniqueId val="{0000000E-542D-47D9-9E4D-58009F1EBAB6}"/>
                </c:ext>
              </c:extLst>
            </c:dLbl>
            <c:dLbl>
              <c:idx val="4"/>
              <c:delete val="1"/>
              <c:extLst>
                <c:ext xmlns:c15="http://schemas.microsoft.com/office/drawing/2012/chart" uri="{CE6537A1-D6FC-4f65-9D91-7224C49458BB}"/>
                <c:ext xmlns:c16="http://schemas.microsoft.com/office/drawing/2014/chart" uri="{C3380CC4-5D6E-409C-BE32-E72D297353CC}">
                  <c16:uniqueId val="{00000010-542D-47D9-9E4D-58009F1EBAB6}"/>
                </c:ext>
              </c:extLst>
            </c:dLbl>
            <c:spPr>
              <a:noFill/>
              <a:ln>
                <a:noFill/>
              </a:ln>
              <a:effectLst/>
            </c:spPr>
            <c:txPr>
              <a:bodyPr rot="0" spcFirstLastPara="1" vertOverflow="ellipsis" vert="horz" wrap="square" lIns="38100" tIns="19050" rIns="38100" bIns="19050" anchor="ctr" anchorCtr="1">
                <a:spAutoFit/>
              </a:bodyPr>
              <a:lstStyle/>
              <a:p>
                <a:pPr>
                  <a:defRPr lang="nb-NO"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a:noFill/>
                </a:ln>
                <a:effectLst/>
              </c:spPr>
            </c:leaderLines>
            <c:extLst>
              <c:ext xmlns:c15="http://schemas.microsoft.com/office/drawing/2012/chart" uri="{CE6537A1-D6FC-4f65-9D91-7224C49458BB}"/>
            </c:extLst>
          </c:dLbls>
          <c:cat>
            <c:numRef>
              <c:f>MASKINPRODUKTIVITET!$I$9:$I$13</c:f>
              <c:numCache>
                <c:formatCode>General</c:formatCode>
                <c:ptCount val="5"/>
                <c:pt idx="0">
                  <c:v>0</c:v>
                </c:pt>
                <c:pt idx="1">
                  <c:v>30</c:v>
                </c:pt>
                <c:pt idx="2">
                  <c:v>30</c:v>
                </c:pt>
                <c:pt idx="3">
                  <c:v>40</c:v>
                </c:pt>
                <c:pt idx="4">
                  <c:v>100</c:v>
                </c:pt>
              </c:numCache>
            </c:numRef>
          </c:cat>
          <c:val>
            <c:numRef>
              <c:f>MASKINPRODUKTIVITET!$V$9:$V$13</c:f>
              <c:numCache>
                <c:formatCode>General</c:formatCode>
                <c:ptCount val="5"/>
                <c:pt idx="0">
                  <c:v>0</c:v>
                </c:pt>
                <c:pt idx="1">
                  <c:v>30</c:v>
                </c:pt>
                <c:pt idx="2">
                  <c:v>30</c:v>
                </c:pt>
                <c:pt idx="3">
                  <c:v>40</c:v>
                </c:pt>
                <c:pt idx="4">
                  <c:v>100</c:v>
                </c:pt>
              </c:numCache>
            </c:numRef>
          </c:val>
          <c:extLst>
            <c:ext xmlns:c16="http://schemas.microsoft.com/office/drawing/2014/chart" uri="{C3380CC4-5D6E-409C-BE32-E72D297353CC}">
              <c16:uniqueId val="{00000011-542D-47D9-9E4D-58009F1EBAB6}"/>
            </c:ext>
          </c:extLst>
        </c:ser>
        <c:dLbls>
          <c:showLegendKey val="0"/>
          <c:showVal val="0"/>
          <c:showCatName val="0"/>
          <c:showSerName val="0"/>
          <c:showPercent val="0"/>
          <c:showBubbleSize val="0"/>
          <c:showLeaderLines val="1"/>
        </c:dLbls>
        <c:firstSliceAng val="270"/>
        <c:holeSize val="55"/>
      </c:doughnutChart>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lang="nb-NO"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defRPr>
            </a:pPr>
            <a:r>
              <a:rPr lang="nb-NO" sz="1800" b="1">
                <a:solidFill>
                  <a:schemeClr val="tx2"/>
                </a:solidFill>
                <a:latin typeface="Verdana" panose="020B0604030504040204" pitchFamily="34" charset="0"/>
                <a:ea typeface="Verdana" panose="020B0604030504040204" pitchFamily="34" charset="0"/>
                <a:cs typeface="Verdana" panose="020B0604030504040204" pitchFamily="34" charset="0"/>
              </a:rPr>
              <a:t>PRODUKTIVITET</a:t>
            </a:r>
          </a:p>
        </c:rich>
      </c:tx>
      <c:layout>
        <c:manualLayout>
          <c:xMode val="edge"/>
          <c:yMode val="edge"/>
          <c:x val="0.24359830533167373"/>
          <c:y val="0"/>
        </c:manualLayout>
      </c:layout>
      <c:overlay val="0"/>
      <c:spPr>
        <a:noFill/>
        <a:ln>
          <a:noFill/>
        </a:ln>
        <a:effectLst/>
      </c:spPr>
    </c:title>
    <c:autoTitleDeleted val="0"/>
    <c:plotArea>
      <c:layout>
        <c:manualLayout>
          <c:layoutTarget val="inner"/>
          <c:xMode val="edge"/>
          <c:yMode val="edge"/>
          <c:x val="0.12389231053535756"/>
          <c:y val="0.11875935879893113"/>
          <c:w val="0.753080704032415"/>
          <c:h val="0.74396048005613968"/>
        </c:manualLayout>
      </c:layout>
      <c:pieChart>
        <c:varyColors val="1"/>
        <c:ser>
          <c:idx val="1"/>
          <c:order val="1"/>
          <c:tx>
            <c:strRef>
              <c:f>MASKINPRODUKTIVITET!$J$8</c:f>
              <c:strCache>
                <c:ptCount val="1"/>
                <c:pt idx="0">
                  <c:v>Måler</c:v>
                </c:pt>
              </c:strCache>
            </c:strRef>
          </c:tx>
          <c:spPr>
            <a:ln>
              <a:noFill/>
            </a:ln>
          </c:spPr>
          <c:explosion val="50"/>
          <c:dPt>
            <c:idx val="0"/>
            <c:bubble3D val="0"/>
            <c:spPr>
              <a:noFill/>
              <a:ln w="9525">
                <a:noFill/>
              </a:ln>
              <a:effectLst/>
            </c:spPr>
            <c:extLst>
              <c:ext xmlns:c16="http://schemas.microsoft.com/office/drawing/2014/chart" uri="{C3380CC4-5D6E-409C-BE32-E72D297353CC}">
                <c16:uniqueId val="{00000001-68D5-45C2-9F35-07DB402459AD}"/>
              </c:ext>
            </c:extLst>
          </c:dPt>
          <c:dPt>
            <c:idx val="1"/>
            <c:bubble3D val="0"/>
            <c:spPr>
              <a:solidFill>
                <a:schemeClr val="tx1"/>
              </a:solidFill>
              <a:ln w="9525">
                <a:noFill/>
              </a:ln>
              <a:effectLst>
                <a:outerShdw blurRad="317500" sx="88000" sy="88000" algn="ctr" rotWithShape="0">
                  <a:prstClr val="black">
                    <a:alpha val="25000"/>
                  </a:prstClr>
                </a:outerShdw>
              </a:effectLst>
            </c:spPr>
            <c:extLst>
              <c:ext xmlns:c16="http://schemas.microsoft.com/office/drawing/2014/chart" uri="{C3380CC4-5D6E-409C-BE32-E72D297353CC}">
                <c16:uniqueId val="{00000003-68D5-45C2-9F35-07DB402459AD}"/>
              </c:ext>
            </c:extLst>
          </c:dPt>
          <c:dPt>
            <c:idx val="2"/>
            <c:bubble3D val="0"/>
            <c:spPr>
              <a:solidFill>
                <a:schemeClr val="bg1">
                  <a:lumMod val="95000"/>
                </a:schemeClr>
              </a:solidFill>
              <a:ln w="9525">
                <a:noFill/>
              </a:ln>
              <a:effectLst/>
            </c:spPr>
            <c:extLst>
              <c:ext xmlns:c16="http://schemas.microsoft.com/office/drawing/2014/chart" uri="{C3380CC4-5D6E-409C-BE32-E72D297353CC}">
                <c16:uniqueId val="{00000005-68D5-45C2-9F35-07DB402459AD}"/>
              </c:ext>
            </c:extLst>
          </c:dPt>
          <c:dLbls>
            <c:dLbl>
              <c:idx val="0"/>
              <c:layout>
                <c:manualLayout>
                  <c:x val="0.28746217098374433"/>
                  <c:y val="0.20481111920310277"/>
                </c:manualLayout>
              </c:layout>
              <c:tx>
                <c:rich>
                  <a:bodyPr rot="0" spcFirstLastPara="1" vertOverflow="clip" horzOverflow="clip" vert="horz" wrap="square" lIns="38100" tIns="19050" rIns="38100" bIns="19050" anchor="ctr" anchorCtr="1">
                    <a:noAutofit/>
                  </a:bodyPr>
                  <a:lstStyle/>
                  <a:p>
                    <a:pPr>
                      <a:defRPr sz="850" b="1" i="0" u="none" strike="noStrike" kern="1200" baseline="0">
                        <a:solidFill>
                          <a:schemeClr val="tx1">
                            <a:lumMod val="50000"/>
                            <a:lumOff val="50000"/>
                          </a:schemeClr>
                        </a:solidFill>
                        <a:latin typeface="+mn-lt"/>
                        <a:ea typeface="+mn-ea"/>
                        <a:cs typeface="+mn-cs"/>
                      </a:defRPr>
                    </a:pPr>
                    <a:fld id="{4BDC8031-8942-4352-B1B6-8B9FDDFAA1B0}" type="VALUE">
                      <a:rPr lang="en-US" sz="4000">
                        <a:solidFill>
                          <a:schemeClr val="tx2">
                            <a:lumMod val="75000"/>
                          </a:schemeClr>
                        </a:solidFill>
                      </a:rPr>
                      <a:pPr>
                        <a:defRPr sz="850" b="1" i="0" u="none" strike="noStrike" kern="1200" baseline="0">
                          <a:solidFill>
                            <a:schemeClr val="tx1">
                              <a:lumMod val="50000"/>
                              <a:lumOff val="50000"/>
                            </a:schemeClr>
                          </a:solidFill>
                          <a:latin typeface="+mn-lt"/>
                          <a:ea typeface="+mn-ea"/>
                          <a:cs typeface="+mn-cs"/>
                        </a:defRPr>
                      </a:pPr>
                      <a:t>[]</a:t>
                    </a:fld>
                    <a:endParaRPr/>
                  </a:p>
                </c:rich>
              </c:tx>
              <c:numFmt formatCode="#,##0.0" sourceLinked="0"/>
              <c:spPr>
                <a:noFill/>
                <a:ln>
                  <a:noFill/>
                </a:ln>
                <a:effectLst/>
              </c:spPr>
              <c:dLblPos val="bestFi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3323781313951365"/>
                      <c:h val="0.13853032762888245"/>
                    </c:manualLayout>
                  </c15:layout>
                  <c15:dlblFieldTable/>
                  <c15:showDataLabelsRange val="0"/>
                </c:ext>
                <c:ext xmlns:c16="http://schemas.microsoft.com/office/drawing/2014/chart" uri="{C3380CC4-5D6E-409C-BE32-E72D297353CC}">
                  <c16:uniqueId val="{00000001-68D5-45C2-9F35-07DB402459AD}"/>
                </c:ext>
              </c:extLst>
            </c:dLbl>
            <c:dLbl>
              <c:idx val="1"/>
              <c:delete val="1"/>
              <c:extLst>
                <c:ext xmlns:c15="http://schemas.microsoft.com/office/drawing/2012/chart" uri="{CE6537A1-D6FC-4f65-9D91-7224C49458BB}"/>
                <c:ext xmlns:c16="http://schemas.microsoft.com/office/drawing/2014/chart" uri="{C3380CC4-5D6E-409C-BE32-E72D297353CC}">
                  <c16:uniqueId val="{00000003-68D5-45C2-9F35-07DB402459AD}"/>
                </c:ext>
              </c:extLst>
            </c:dLbl>
            <c:dLbl>
              <c:idx val="2"/>
              <c:delete val="1"/>
              <c:extLst>
                <c:ext xmlns:c15="http://schemas.microsoft.com/office/drawing/2012/chart" uri="{CE6537A1-D6FC-4f65-9D91-7224C49458BB}"/>
                <c:ext xmlns:c16="http://schemas.microsoft.com/office/drawing/2014/chart" uri="{C3380CC4-5D6E-409C-BE32-E72D297353CC}">
                  <c16:uniqueId val="{00000005-68D5-45C2-9F35-07DB402459A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s>
          <c:cat>
            <c:numRef>
              <c:f>MASKINPRODUKTIVITET!$K$9:$K$11</c:f>
              <c:numCache>
                <c:formatCode>General</c:formatCode>
                <c:ptCount val="3"/>
                <c:pt idx="0" formatCode="0.00">
                  <c:v>11.164954064271425</c:v>
                </c:pt>
                <c:pt idx="1">
                  <c:v>1</c:v>
                </c:pt>
                <c:pt idx="2">
                  <c:v>87.835045935728573</c:v>
                </c:pt>
              </c:numCache>
            </c:numRef>
          </c:cat>
          <c:val>
            <c:numRef>
              <c:f>MASKINPRODUKTIVITET!$K$9:$K$11</c:f>
              <c:numCache>
                <c:formatCode>General</c:formatCode>
                <c:ptCount val="3"/>
                <c:pt idx="0" formatCode="0.00">
                  <c:v>11.164954064271425</c:v>
                </c:pt>
                <c:pt idx="1">
                  <c:v>1</c:v>
                </c:pt>
                <c:pt idx="2">
                  <c:v>87.835045935728573</c:v>
                </c:pt>
              </c:numCache>
            </c:numRef>
          </c:val>
          <c:extLst>
            <c:ext xmlns:c16="http://schemas.microsoft.com/office/drawing/2014/chart" uri="{C3380CC4-5D6E-409C-BE32-E72D297353CC}">
              <c16:uniqueId val="{00000006-68D5-45C2-9F35-07DB402459AD}"/>
            </c:ext>
          </c:extLst>
        </c:ser>
        <c:dLbls>
          <c:showLegendKey val="0"/>
          <c:showVal val="0"/>
          <c:showCatName val="0"/>
          <c:showSerName val="0"/>
          <c:showPercent val="0"/>
          <c:showBubbleSize val="0"/>
          <c:showLeaderLines val="1"/>
        </c:dLbls>
        <c:firstSliceAng val="270"/>
      </c:pieChart>
      <c:doughnutChart>
        <c:varyColors val="1"/>
        <c:ser>
          <c:idx val="0"/>
          <c:order val="0"/>
          <c:tx>
            <c:strRef>
              <c:f>MASKINPRODUKTIVITET!$H$8</c:f>
              <c:strCache>
                <c:ptCount val="1"/>
                <c:pt idx="0">
                  <c:v>Prestasjon</c:v>
                </c:pt>
              </c:strCache>
            </c:strRef>
          </c:tx>
          <c:spPr>
            <a:solidFill>
              <a:schemeClr val="tx1">
                <a:alpha val="51000"/>
              </a:schemeClr>
            </a:solidFill>
            <a:ln>
              <a:noFill/>
            </a:ln>
            <a:effectLst/>
          </c:spPr>
          <c:dPt>
            <c:idx val="0"/>
            <c:bubble3D val="0"/>
            <c:spPr>
              <a:solidFill>
                <a:schemeClr val="tx1">
                  <a:alpha val="51000"/>
                </a:schemeClr>
              </a:solidFill>
              <a:ln w="9525">
                <a:noFill/>
              </a:ln>
              <a:effectLst/>
            </c:spPr>
            <c:extLst>
              <c:ext xmlns:c16="http://schemas.microsoft.com/office/drawing/2014/chart" uri="{C3380CC4-5D6E-409C-BE32-E72D297353CC}">
                <c16:uniqueId val="{00000008-68D5-45C2-9F35-07DB402459AD}"/>
              </c:ext>
            </c:extLst>
          </c:dPt>
          <c:dPt>
            <c:idx val="1"/>
            <c:bubble3D val="0"/>
            <c:spPr>
              <a:solidFill>
                <a:srgbClr val="FF0000">
                  <a:alpha val="60000"/>
                </a:srgbClr>
              </a:solidFill>
              <a:ln w="9525">
                <a:noFill/>
              </a:ln>
              <a:effectLst>
                <a:innerShdw blurRad="63500" dist="50800" dir="13500000">
                  <a:prstClr val="black">
                    <a:alpha val="50000"/>
                  </a:prstClr>
                </a:innerShdw>
              </a:effectLst>
            </c:spPr>
            <c:extLst>
              <c:ext xmlns:c16="http://schemas.microsoft.com/office/drawing/2014/chart" uri="{C3380CC4-5D6E-409C-BE32-E72D297353CC}">
                <c16:uniqueId val="{0000000A-68D5-45C2-9F35-07DB402459AD}"/>
              </c:ext>
            </c:extLst>
          </c:dPt>
          <c:dPt>
            <c:idx val="2"/>
            <c:bubble3D val="0"/>
            <c:spPr>
              <a:solidFill>
                <a:srgbClr val="FFFF00">
                  <a:alpha val="51000"/>
                </a:srgbClr>
              </a:solidFill>
              <a:ln w="9525">
                <a:noFill/>
              </a:ln>
              <a:effectLst>
                <a:innerShdw blurRad="63500" dist="50800" dir="16200000">
                  <a:prstClr val="black">
                    <a:alpha val="50000"/>
                  </a:prstClr>
                </a:innerShdw>
              </a:effectLst>
            </c:spPr>
            <c:extLst>
              <c:ext xmlns:c16="http://schemas.microsoft.com/office/drawing/2014/chart" uri="{C3380CC4-5D6E-409C-BE32-E72D297353CC}">
                <c16:uniqueId val="{0000000C-68D5-45C2-9F35-07DB402459AD}"/>
              </c:ext>
            </c:extLst>
          </c:dPt>
          <c:dPt>
            <c:idx val="3"/>
            <c:bubble3D val="0"/>
            <c:spPr>
              <a:solidFill>
                <a:srgbClr val="00B050">
                  <a:alpha val="51000"/>
                </a:srgbClr>
              </a:solidFill>
              <a:ln w="9525">
                <a:noFill/>
              </a:ln>
              <a:effectLst>
                <a:innerShdw blurRad="63500" dist="50800" dir="18900000">
                  <a:prstClr val="black">
                    <a:alpha val="50000"/>
                  </a:prstClr>
                </a:innerShdw>
              </a:effectLst>
            </c:spPr>
            <c:extLst>
              <c:ext xmlns:c16="http://schemas.microsoft.com/office/drawing/2014/chart" uri="{C3380CC4-5D6E-409C-BE32-E72D297353CC}">
                <c16:uniqueId val="{0000000E-68D5-45C2-9F35-07DB402459AD}"/>
              </c:ext>
            </c:extLst>
          </c:dPt>
          <c:dPt>
            <c:idx val="4"/>
            <c:bubble3D val="0"/>
            <c:spPr>
              <a:solidFill>
                <a:schemeClr val="bg1">
                  <a:lumMod val="95000"/>
                  <a:alpha val="51000"/>
                </a:schemeClr>
              </a:solidFill>
              <a:ln w="9525">
                <a:noFill/>
              </a:ln>
              <a:effectLst/>
            </c:spPr>
            <c:extLst>
              <c:ext xmlns:c16="http://schemas.microsoft.com/office/drawing/2014/chart" uri="{C3380CC4-5D6E-409C-BE32-E72D297353CC}">
                <c16:uniqueId val="{00000010-68D5-45C2-9F35-07DB402459AD}"/>
              </c:ext>
            </c:extLst>
          </c:dPt>
          <c:dLbls>
            <c:dLbl>
              <c:idx val="0"/>
              <c:layout>
                <c:manualLayout>
                  <c:x val="-0.10644223879664108"/>
                  <c:y val="-4.7719298873421141E-3"/>
                </c:manualLayout>
              </c:layout>
              <c:showLegendKey val="0"/>
              <c:showVal val="1"/>
              <c:showCatName val="0"/>
              <c:showSerName val="0"/>
              <c:showPercent val="0"/>
              <c:showBubbleSize val="0"/>
              <c:extLst>
                <c:ext xmlns:c15="http://schemas.microsoft.com/office/drawing/2012/chart" uri="{CE6537A1-D6FC-4f65-9D91-7224C49458BB}">
                  <c15:layout>
                    <c:manualLayout>
                      <c:w val="4.4804373528064247E-2"/>
                      <c:h val="6.4298869936647407E-2"/>
                    </c:manualLayout>
                  </c15:layout>
                </c:ext>
                <c:ext xmlns:c16="http://schemas.microsoft.com/office/drawing/2014/chart" uri="{C3380CC4-5D6E-409C-BE32-E72D297353CC}">
                  <c16:uniqueId val="{00000008-68D5-45C2-9F35-07DB402459AD}"/>
                </c:ext>
              </c:extLst>
            </c:dLbl>
            <c:dLbl>
              <c:idx val="1"/>
              <c:layout>
                <c:manualLayout>
                  <c:x val="2.1260657568576175E-2"/>
                  <c:y val="-0.19883040581465777"/>
                </c:manualLayout>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layout>
                    <c:manualLayout>
                      <c:w val="7.127849488216885E-2"/>
                      <c:h val="6.4298869936647407E-2"/>
                    </c:manualLayout>
                  </c15:layout>
                  <c15:showDataLabelsRange val="0"/>
                </c:ext>
                <c:ext xmlns:c16="http://schemas.microsoft.com/office/drawing/2014/chart" uri="{C3380CC4-5D6E-409C-BE32-E72D297353CC}">
                  <c16:uniqueId val="{0000000A-68D5-45C2-9F35-07DB402459AD}"/>
                </c:ext>
              </c:extLst>
            </c:dLbl>
            <c:dLbl>
              <c:idx val="2"/>
              <c:layout>
                <c:manualLayout>
                  <c:x val="0.17370436387610361"/>
                  <c:y val="-9.7051282051282051E-2"/>
                </c:manualLayout>
              </c:layout>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15:layout>
                    <c:manualLayout>
                      <c:w val="9.2227354509551315E-2"/>
                      <c:h val="6.4298869936647407E-2"/>
                    </c:manualLayout>
                  </c15:layout>
                  <c15:showDataLabelsRange val="0"/>
                </c:ext>
                <c:ext xmlns:c16="http://schemas.microsoft.com/office/drawing/2014/chart" uri="{C3380CC4-5D6E-409C-BE32-E72D297353CC}">
                  <c16:uniqueId val="{0000000C-68D5-45C2-9F35-07DB402459AD}"/>
                </c:ext>
              </c:extLst>
            </c:dLbl>
            <c:dLbl>
              <c:idx val="3"/>
              <c:layout>
                <c:manualLayout>
                  <c:x val="0.18209125002585713"/>
                  <c:y val="0.16167756915001"/>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15:layout>
                    <c:manualLayout>
                      <c:w val="8.9455135831498583E-2"/>
                      <c:h val="6.3995050804311712E-2"/>
                    </c:manualLayout>
                  </c15:layout>
                  <c15:showDataLabelsRange val="0"/>
                </c:ext>
                <c:ext xmlns:c16="http://schemas.microsoft.com/office/drawing/2014/chart" uri="{C3380CC4-5D6E-409C-BE32-E72D297353CC}">
                  <c16:uniqueId val="{0000000E-68D5-45C2-9F35-07DB402459AD}"/>
                </c:ext>
              </c:extLst>
            </c:dLbl>
            <c:dLbl>
              <c:idx val="4"/>
              <c:delete val="1"/>
              <c:extLst>
                <c:ext xmlns:c15="http://schemas.microsoft.com/office/drawing/2012/chart" uri="{CE6537A1-D6FC-4f65-9D91-7224C49458BB}"/>
                <c:ext xmlns:c16="http://schemas.microsoft.com/office/drawing/2014/chart" uri="{C3380CC4-5D6E-409C-BE32-E72D297353CC}">
                  <c16:uniqueId val="{00000010-68D5-45C2-9F35-07DB402459AD}"/>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00000"/>
                    </a:solidFill>
                    <a:latin typeface="+mn-lt"/>
                    <a:ea typeface="+mn-ea"/>
                    <a:cs typeface="+mn-cs"/>
                  </a:defRPr>
                </a:pPr>
                <a:endParaRPr lang="en-US"/>
              </a:p>
            </c:txPr>
            <c:showLegendKey val="0"/>
            <c:showVal val="1"/>
            <c:showCatName val="0"/>
            <c:showSerName val="0"/>
            <c:showPercent val="0"/>
            <c:showBubbleSize val="0"/>
            <c:showLeaderLines val="1"/>
            <c:leaderLines>
              <c:spPr>
                <a:ln>
                  <a:noFill/>
                </a:ln>
                <a:effectLst/>
              </c:spPr>
            </c:leaderLines>
            <c:extLst>
              <c:ext xmlns:c15="http://schemas.microsoft.com/office/drawing/2012/chart" uri="{CE6537A1-D6FC-4f65-9D91-7224C49458BB}"/>
            </c:extLst>
          </c:dLbls>
          <c:cat>
            <c:numRef>
              <c:f>MASKINPRODUKTIVITET!$I$9:$I$13</c:f>
              <c:numCache>
                <c:formatCode>General</c:formatCode>
                <c:ptCount val="5"/>
                <c:pt idx="0">
                  <c:v>0</c:v>
                </c:pt>
                <c:pt idx="1">
                  <c:v>30</c:v>
                </c:pt>
                <c:pt idx="2">
                  <c:v>30</c:v>
                </c:pt>
                <c:pt idx="3">
                  <c:v>40</c:v>
                </c:pt>
                <c:pt idx="4">
                  <c:v>100</c:v>
                </c:pt>
              </c:numCache>
            </c:numRef>
          </c:cat>
          <c:val>
            <c:numRef>
              <c:f>MASKINPRODUKTIVITET!$I$9:$I$13</c:f>
              <c:numCache>
                <c:formatCode>General</c:formatCode>
                <c:ptCount val="5"/>
                <c:pt idx="0">
                  <c:v>0</c:v>
                </c:pt>
                <c:pt idx="1">
                  <c:v>30</c:v>
                </c:pt>
                <c:pt idx="2">
                  <c:v>30</c:v>
                </c:pt>
                <c:pt idx="3">
                  <c:v>40</c:v>
                </c:pt>
                <c:pt idx="4">
                  <c:v>100</c:v>
                </c:pt>
              </c:numCache>
            </c:numRef>
          </c:val>
          <c:extLst>
            <c:ext xmlns:c16="http://schemas.microsoft.com/office/drawing/2014/chart" uri="{C3380CC4-5D6E-409C-BE32-E72D297353CC}">
              <c16:uniqueId val="{00000011-68D5-45C2-9F35-07DB402459AD}"/>
            </c:ext>
          </c:extLst>
        </c:ser>
        <c:dLbls>
          <c:showLegendKey val="0"/>
          <c:showVal val="0"/>
          <c:showCatName val="0"/>
          <c:showSerName val="0"/>
          <c:showPercent val="0"/>
          <c:showBubbleSize val="0"/>
          <c:showLeaderLines val="1"/>
        </c:dLbls>
        <c:firstSliceAng val="270"/>
        <c:holeSize val="55"/>
      </c:doughnutChart>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8">
  <cs:axisTitle>
    <cs:lnRef idx="0"/>
    <cs:fillRef idx="0"/>
    <cs:effectRef idx="0"/>
    <cs:fontRef idx="minor">
      <a:schemeClr val="dk1">
        <a:lumMod val="65000"/>
        <a:lumOff val="35000"/>
      </a:schemeClr>
    </cs:fontRef>
    <cs:defRPr sz="900"/>
  </cs:axisTitle>
  <cs:categoryAxis>
    <cs:lnRef idx="0"/>
    <cs:fillRef idx="0"/>
    <cs:effectRef idx="0"/>
    <cs:fontRef idx="minor">
      <a:schemeClr val="dk1">
        <a:lumMod val="65000"/>
        <a:lumOff val="35000"/>
      </a:schemeClr>
    </cs:fontRef>
    <cs:defRPr sz="9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850" b="1" i="0" u="none" strike="noStrike" kern="1200" baseline="0"/>
    <cs:bodyPr lIns="38100" tIns="19050" rIns="38100" bIns="19050">
      <a:spAutoFit/>
    </cs:bodyPr>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w="9525">
        <a:solidFill>
          <a:schemeClr val="lt1"/>
        </a:solidFill>
      </a:ln>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65000"/>
        <a:lumOff val="35000"/>
      </a:schemeClr>
    </cs:fontRef>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dk1"/>
    </cs:fontRef>
  </cs:dropLine>
  <cs:errorBar>
    <cs:lnRef idx="0"/>
    <cs:fillRef idx="0"/>
    <cs:effectRef idx="0"/>
    <cs:fontRef idx="minor">
      <a:schemeClr val="dk1"/>
    </cs:fontRef>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lumOff val="10000"/>
          </a:schemeClr>
        </a:solidFill>
        <a:round/>
      </a:ln>
    </cs:spPr>
  </cs:gridlineMinor>
  <cs:hiLoLine>
    <cs:lnRef idx="0"/>
    <cs:fillRef idx="0"/>
    <cs:effectRef idx="0"/>
    <cs:fontRef idx="minor">
      <a:schemeClr val="dk1"/>
    </cs:fontRef>
  </cs:hiLoLine>
  <cs:leaderLine>
    <cs:lnRef idx="0"/>
    <cs:fillRef idx="0"/>
    <cs:effectRef idx="0"/>
    <cs:fontRef idx="minor">
      <a:schemeClr val="dk1"/>
    </cs:fontRef>
  </cs:leaderLine>
  <cs:legend>
    <cs:lnRef idx="0"/>
    <cs:fillRef idx="0"/>
    <cs:effectRef idx="0"/>
    <cs:fontRef idx="minor">
      <a:schemeClr val="dk1">
        <a:lumMod val="65000"/>
        <a:lumOff val="35000"/>
      </a:schemeClr>
    </cs:fontRef>
    <cs:spPr>
      <a:solidFill>
        <a:schemeClr val="lt1">
          <a:alpha val="78000"/>
        </a:schemeClr>
      </a:solidFill>
    </cs:spPr>
    <cs:defRPr sz="900" kern="1200"/>
    <cs:bodyPr/>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dk1">
        <a:lumMod val="65000"/>
        <a:lumOff val="35000"/>
      </a:schemeClr>
    </cs:fontRef>
    <cs:defRPr sz="1800" b="1" kern="1200" baseline="0"/>
    <cs:body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7.png"/><Relationship Id="rId3" Type="http://schemas.openxmlformats.org/officeDocument/2006/relationships/hyperlink" Target="https://www.youtube.com/watch?v=8dhIGhOIYes&amp;t=2s" TargetMode="External"/><Relationship Id="rId7" Type="http://schemas.openxmlformats.org/officeDocument/2006/relationships/hyperlink" Target="#'KOSTNAD RYDDETR&#198;R'!A1"/><Relationship Id="rId12" Type="http://schemas.openxmlformats.org/officeDocument/2006/relationships/hyperlink" Target="https://www.facebook.com/skogkurs/?hc_ref=ARQI_a05SVVTQyz0WeTsu66DOU5VZNyl2bW5ilArHOsmDSkw9whtOEGgMXwSDVw9GOo" TargetMode="External"/><Relationship Id="rId2" Type="http://schemas.openxmlformats.org/officeDocument/2006/relationships/chart" Target="../charts/chart1.xml"/><Relationship Id="rId16" Type="http://schemas.openxmlformats.org/officeDocument/2006/relationships/hyperlink" Target="mailto:post@skogkurs.no" TargetMode="External"/><Relationship Id="rId1" Type="http://schemas.openxmlformats.org/officeDocument/2006/relationships/hyperlink" Target="#MASKINPRODUKTIVITET!A1"/><Relationship Id="rId6" Type="http://schemas.openxmlformats.org/officeDocument/2006/relationships/image" Target="../media/image3.svg"/><Relationship Id="rId11" Type="http://schemas.openxmlformats.org/officeDocument/2006/relationships/image" Target="../media/image6.png"/><Relationship Id="rId5" Type="http://schemas.openxmlformats.org/officeDocument/2006/relationships/image" Target="../media/image2.png"/><Relationship Id="rId15" Type="http://schemas.openxmlformats.org/officeDocument/2006/relationships/hyperlink" Target="https://www.youtube.com/watch?v=nojaCvJ7-xI" TargetMode="External"/><Relationship Id="rId10" Type="http://schemas.openxmlformats.org/officeDocument/2006/relationships/hyperlink" Target="mailto:mf@skogkurs.no?subject=http://www.skogkurs.no/artikkel.cfm?Id_art=3259" TargetMode="External"/><Relationship Id="rId4" Type="http://schemas.openxmlformats.org/officeDocument/2006/relationships/image" Target="../media/image1.png"/><Relationship Id="rId9" Type="http://schemas.openxmlformats.org/officeDocument/2006/relationships/image" Target="../media/image5.svg"/><Relationship Id="rId14" Type="http://schemas.openxmlformats.org/officeDocument/2006/relationships/hyperlink" Target="https://www.youtube.com/watch?v=8dhIGhOIYe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OGSTMASKIN (G0)'!A1"/><Relationship Id="rId2" Type="http://schemas.openxmlformats.org/officeDocument/2006/relationships/hyperlink" Target="#'LASSB&#198;RER (G15)'!A1"/><Relationship Id="rId1" Type="http://schemas.openxmlformats.org/officeDocument/2006/relationships/hyperlink" Target="#DASHBORD!A1"/><Relationship Id="rId5" Type="http://schemas.openxmlformats.org/officeDocument/2006/relationships/hyperlink" Target="#HJELPETABELLER!A1"/><Relationship Id="rId4" Type="http://schemas.openxmlformats.org/officeDocument/2006/relationships/hyperlink" Target="#'PROD.NORMER TABELL'!A1"/></Relationships>
</file>

<file path=xl/drawings/_rels/drawing11.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hyperlink" Target="#'LASSB&#198;RER (G15)'!A1"/><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hyperlink" Target="#HJELPETABELLER!A1"/><Relationship Id="rId2" Type="http://schemas.openxmlformats.org/officeDocument/2006/relationships/image" Target="../media/image21.png"/><Relationship Id="rId1" Type="http://schemas.openxmlformats.org/officeDocument/2006/relationships/hyperlink" Target="#'PROD.NORMER TABELL'!A1"/><Relationship Id="rId6" Type="http://schemas.openxmlformats.org/officeDocument/2006/relationships/image" Target="../media/image25.png"/><Relationship Id="rId11" Type="http://schemas.openxmlformats.org/officeDocument/2006/relationships/hyperlink" Target="#'HOGSTMASKIN (G0)'!A1"/><Relationship Id="rId5" Type="http://schemas.openxmlformats.org/officeDocument/2006/relationships/image" Target="../media/image24.png"/><Relationship Id="rId10" Type="http://schemas.openxmlformats.org/officeDocument/2006/relationships/hyperlink" Target="#DASHBORD!A1"/><Relationship Id="rId4" Type="http://schemas.openxmlformats.org/officeDocument/2006/relationships/image" Target="../media/image23.png"/><Relationship Id="rId9"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hyperlink" Target="#'LASSB&#198;RER (G15)'!A1"/><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hyperlink" Target="#HJELPETABELLER!A1"/><Relationship Id="rId2" Type="http://schemas.openxmlformats.org/officeDocument/2006/relationships/image" Target="../media/image21.png"/><Relationship Id="rId1" Type="http://schemas.openxmlformats.org/officeDocument/2006/relationships/hyperlink" Target="#'PROD.NORMER TABELL'!A1"/><Relationship Id="rId6" Type="http://schemas.openxmlformats.org/officeDocument/2006/relationships/image" Target="../media/image25.png"/><Relationship Id="rId11" Type="http://schemas.openxmlformats.org/officeDocument/2006/relationships/hyperlink" Target="#'HOGSTMASKIN (G0)'!A1"/><Relationship Id="rId5" Type="http://schemas.openxmlformats.org/officeDocument/2006/relationships/image" Target="../media/image24.png"/><Relationship Id="rId10" Type="http://schemas.openxmlformats.org/officeDocument/2006/relationships/hyperlink" Target="#DASHBORD!A1"/><Relationship Id="rId4" Type="http://schemas.openxmlformats.org/officeDocument/2006/relationships/image" Target="../media/image23.png"/><Relationship Id="rId9"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hyperlink" Target="#DASHBORD!A1"/><Relationship Id="rId7" Type="http://schemas.openxmlformats.org/officeDocument/2006/relationships/hyperlink" Target="#HJELPETABELLER!A1"/><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hyperlink" Target="#'PROD.NORMER TABELL'!A1"/><Relationship Id="rId5" Type="http://schemas.openxmlformats.org/officeDocument/2006/relationships/hyperlink" Target="#'HOGSTMASKIN (G0)'!A1"/><Relationship Id="rId4" Type="http://schemas.openxmlformats.org/officeDocument/2006/relationships/hyperlink" Target="#'LASSB&#198;RER (G15)'!A1"/></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FORSIDE!A1"/><Relationship Id="rId1" Type="http://schemas.openxmlformats.org/officeDocument/2006/relationships/hyperlink" Target="#MASKINPRODUKTIVITET!A1"/><Relationship Id="rId6" Type="http://schemas.openxmlformats.org/officeDocument/2006/relationships/hyperlink" Target="http://www.skogkurs.no/userfiles/files/Kunnskapsskogen/Prosjektrapport_Tiltak%20i%20tett%20eller%20fors%C3%B8mt%20skog%201_0.pdf" TargetMode="External"/><Relationship Id="rId5" Type="http://schemas.openxmlformats.org/officeDocument/2006/relationships/image" Target="../media/image11.png"/><Relationship Id="rId4" Type="http://schemas.openxmlformats.org/officeDocument/2006/relationships/image" Target="../media/image10.svg"/></Relationships>
</file>

<file path=xl/drawings/_rels/drawing5.xml.rels><?xml version="1.0" encoding="UTF-8" standalone="yes"?>
<Relationships xmlns="http://schemas.openxmlformats.org/package/2006/relationships"><Relationship Id="rId3" Type="http://schemas.openxmlformats.org/officeDocument/2006/relationships/hyperlink" Target="#'KOSTNAD RYDDETR&#198;R'!A1"/><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hyperlink" Target="#'HOGSTMASKIN (G0)'!A1"/><Relationship Id="rId2" Type="http://schemas.openxmlformats.org/officeDocument/2006/relationships/hyperlink" Target="#'LASSB&#198;RER (G15)'!A1"/><Relationship Id="rId1" Type="http://schemas.openxmlformats.org/officeDocument/2006/relationships/hyperlink" Target="#DASHBORD!A1"/><Relationship Id="rId5" Type="http://schemas.openxmlformats.org/officeDocument/2006/relationships/hyperlink" Target="#HJELPETABELLER!A1"/><Relationship Id="rId4" Type="http://schemas.openxmlformats.org/officeDocument/2006/relationships/hyperlink" Target="#'PROD.NORMER TABELL'!A1"/></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OD.NORMER TABELL'!A1"/><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hyperlink" Target="#HJELPETABELLER!A1"/><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hyperlink" Target="#'LASSB&#198;RER (G15)'!A1"/><Relationship Id="rId5" Type="http://schemas.openxmlformats.org/officeDocument/2006/relationships/image" Target="../media/image16.png"/><Relationship Id="rId10" Type="http://schemas.openxmlformats.org/officeDocument/2006/relationships/hyperlink" Target="#DASHBORD!A1"/><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hyperlink" Target="#'HOGSTMASKIN (G0)'!A1"/></Relationships>
</file>

<file path=xl/drawings/_rels/drawing8.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OD.NORMER TABELL'!A1"/><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hyperlink" Target="#HJELPETABELLER!A1"/><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hyperlink" Target="#'LASSB&#198;RER (G15)'!A1"/><Relationship Id="rId5" Type="http://schemas.openxmlformats.org/officeDocument/2006/relationships/image" Target="../media/image16.png"/><Relationship Id="rId10" Type="http://schemas.openxmlformats.org/officeDocument/2006/relationships/hyperlink" Target="#DASHBORD!A1"/><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hyperlink" Target="#'HOGSTMASKIN (G0)'!A1"/></Relationships>
</file>

<file path=xl/drawings/_rels/drawing9.xml.rels><?xml version="1.0" encoding="UTF-8" standalone="yes"?>
<Relationships xmlns="http://schemas.openxmlformats.org/package/2006/relationships"><Relationship Id="rId3" Type="http://schemas.openxmlformats.org/officeDocument/2006/relationships/hyperlink" Target="#'HOGSTMASKIN (G0)'!A1"/><Relationship Id="rId2" Type="http://schemas.openxmlformats.org/officeDocument/2006/relationships/hyperlink" Target="#'LASSB&#198;RER (G15)'!A1"/><Relationship Id="rId1" Type="http://schemas.openxmlformats.org/officeDocument/2006/relationships/hyperlink" Target="#DASHBORD!A1"/><Relationship Id="rId5" Type="http://schemas.openxmlformats.org/officeDocument/2006/relationships/hyperlink" Target="#HJELPETABELLER!A1"/><Relationship Id="rId4" Type="http://schemas.openxmlformats.org/officeDocument/2006/relationships/hyperlink" Target="#'PROD.NORMER TABELL'!A1"/></Relationships>
</file>

<file path=xl/drawings/drawing1.xml><?xml version="1.0" encoding="utf-8"?>
<xdr:wsDr xmlns:xdr="http://schemas.openxmlformats.org/drawingml/2006/spreadsheetDrawing" xmlns:a="http://schemas.openxmlformats.org/drawingml/2006/main">
  <xdr:twoCellAnchor editAs="absolute">
    <xdr:from>
      <xdr:col>4</xdr:col>
      <xdr:colOff>865041</xdr:colOff>
      <xdr:row>1</xdr:row>
      <xdr:rowOff>1488</xdr:rowOff>
    </xdr:from>
    <xdr:to>
      <xdr:col>7</xdr:col>
      <xdr:colOff>447099</xdr:colOff>
      <xdr:row>3</xdr:row>
      <xdr:rowOff>7139</xdr:rowOff>
    </xdr:to>
    <xdr:sp macro="" textlink="">
      <xdr:nvSpPr>
        <xdr:cNvPr id="17" name="Flik_02">
          <a:hlinkClick xmlns:r="http://schemas.openxmlformats.org/officeDocument/2006/relationships" r:id="rId1"/>
          <a:extLst>
            <a:ext uri="{FF2B5EF4-FFF2-40B4-BE49-F238E27FC236}">
              <a16:creationId xmlns:a16="http://schemas.microsoft.com/office/drawing/2014/main" id="{ED92D130-EEB8-407E-B4D0-3113D7EB0E4F}"/>
            </a:ext>
          </a:extLst>
        </xdr:cNvPr>
        <xdr:cNvSpPr>
          <a:spLocks/>
        </xdr:cNvSpPr>
      </xdr:nvSpPr>
      <xdr:spPr bwMode="auto">
        <a:xfrm>
          <a:off x="4073061" y="153888"/>
          <a:ext cx="2393838" cy="31045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Maskinproduktivitet</a:t>
          </a:r>
        </a:p>
      </xdr:txBody>
    </xdr:sp>
    <xdr:clientData/>
  </xdr:twoCellAnchor>
  <xdr:twoCellAnchor>
    <xdr:from>
      <xdr:col>8</xdr:col>
      <xdr:colOff>347831</xdr:colOff>
      <xdr:row>8</xdr:row>
      <xdr:rowOff>281942</xdr:rowOff>
    </xdr:from>
    <xdr:to>
      <xdr:col>14</xdr:col>
      <xdr:colOff>297180</xdr:colOff>
      <xdr:row>20</xdr:row>
      <xdr:rowOff>205743</xdr:rowOff>
    </xdr:to>
    <xdr:grpSp>
      <xdr:nvGrpSpPr>
        <xdr:cNvPr id="2" name="Gruppe 1">
          <a:extLst>
            <a:ext uri="{FF2B5EF4-FFF2-40B4-BE49-F238E27FC236}">
              <a16:creationId xmlns:a16="http://schemas.microsoft.com/office/drawing/2014/main" id="{8843C482-CFB2-4E7E-80D3-0AADF9C2181E}"/>
            </a:ext>
          </a:extLst>
        </xdr:cNvPr>
        <xdr:cNvGrpSpPr>
          <a:grpSpLocks/>
        </xdr:cNvGrpSpPr>
      </xdr:nvGrpSpPr>
      <xdr:grpSpPr bwMode="auto">
        <a:xfrm>
          <a:off x="7053431" y="1786892"/>
          <a:ext cx="6273949" cy="3648076"/>
          <a:chOff x="1197473" y="6294882"/>
          <a:chExt cx="5715000" cy="3200400"/>
        </a:xfrm>
      </xdr:grpSpPr>
      <xdr:graphicFrame macro="">
        <xdr:nvGraphicFramePr>
          <xdr:cNvPr id="3" name="Chart 3">
            <a:extLst>
              <a:ext uri="{FF2B5EF4-FFF2-40B4-BE49-F238E27FC236}">
                <a16:creationId xmlns:a16="http://schemas.microsoft.com/office/drawing/2014/main" id="{1E40EED3-D7BE-4488-A487-0A43ABD72D3E}"/>
              </a:ext>
            </a:extLst>
          </xdr:cNvPr>
          <xdr:cNvGraphicFramePr>
            <a:graphicFrameLocks/>
          </xdr:cNvGraphicFramePr>
        </xdr:nvGraphicFramePr>
        <xdr:xfrm>
          <a:off x="1197473" y="6294882"/>
          <a:ext cx="5715000" cy="32004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Freeform 32">
            <a:extLst>
              <a:ext uri="{FF2B5EF4-FFF2-40B4-BE49-F238E27FC236}">
                <a16:creationId xmlns:a16="http://schemas.microsoft.com/office/drawing/2014/main" id="{DC009218-FDAB-41FA-A7E9-7E923FC78150}"/>
              </a:ext>
            </a:extLst>
          </xdr:cNvPr>
          <xdr:cNvSpPr>
            <a:spLocks/>
          </xdr:cNvSpPr>
        </xdr:nvSpPr>
        <xdr:spPr bwMode="auto">
          <a:xfrm>
            <a:off x="1903811" y="8282944"/>
            <a:ext cx="3179423" cy="572610"/>
          </a:xfrm>
          <a:custGeom>
            <a:avLst/>
            <a:gdLst>
              <a:gd name="T0" fmla="*/ 2147483646 w 329"/>
              <a:gd name="T1" fmla="*/ 2147483646 h 60"/>
              <a:gd name="T2" fmla="*/ 2147483646 w 329"/>
              <a:gd name="T3" fmla="*/ 0 h 60"/>
              <a:gd name="T4" fmla="*/ 2147483646 w 329"/>
              <a:gd name="T5" fmla="*/ 2147483646 h 60"/>
              <a:gd name="T6" fmla="*/ 0 w 329"/>
              <a:gd name="T7" fmla="*/ 2147483646 h 60"/>
              <a:gd name="T8" fmla="*/ 2147483646 w 329"/>
              <a:gd name="T9" fmla="*/ 2147483646 h 60"/>
              <a:gd name="T10" fmla="*/ 0 60000 65536"/>
              <a:gd name="T11" fmla="*/ 0 60000 65536"/>
              <a:gd name="T12" fmla="*/ 0 60000 65536"/>
              <a:gd name="T13" fmla="*/ 0 60000 65536"/>
              <a:gd name="T14" fmla="*/ 0 60000 65536"/>
              <a:gd name="T15" fmla="*/ 0 w 329"/>
              <a:gd name="T16" fmla="*/ 0 h 60"/>
              <a:gd name="T17" fmla="*/ 329 w 329"/>
              <a:gd name="T18" fmla="*/ 60 h 60"/>
            </a:gdLst>
            <a:ahLst/>
            <a:cxnLst>
              <a:cxn ang="T10">
                <a:pos x="T0" y="T1"/>
              </a:cxn>
              <a:cxn ang="T11">
                <a:pos x="T2" y="T3"/>
              </a:cxn>
              <a:cxn ang="T12">
                <a:pos x="T4" y="T5"/>
              </a:cxn>
              <a:cxn ang="T13">
                <a:pos x="T6" y="T7"/>
              </a:cxn>
              <a:cxn ang="T14">
                <a:pos x="T8" y="T9"/>
              </a:cxn>
            </a:cxnLst>
            <a:rect l="T15" t="T16" r="T17" b="T18"/>
            <a:pathLst>
              <a:path w="329" h="60">
                <a:moveTo>
                  <a:pt x="84" y="25"/>
                </a:moveTo>
                <a:lnTo>
                  <a:pt x="329" y="0"/>
                </a:lnTo>
                <a:lnTo>
                  <a:pt x="329" y="29"/>
                </a:lnTo>
                <a:lnTo>
                  <a:pt x="0" y="60"/>
                </a:lnTo>
                <a:lnTo>
                  <a:pt x="84" y="25"/>
                </a:lnTo>
                <a:close/>
              </a:path>
            </a:pathLst>
          </a:custGeom>
          <a:solidFill>
            <a:schemeClr val="accent3">
              <a:lumMod val="60000"/>
              <a:lumOff val="40000"/>
              <a:alpha val="58000"/>
            </a:schemeClr>
          </a:solidFill>
          <a:ln w="9525" cap="flat" cmpd="sng">
            <a:noFill/>
            <a:prstDash val="solid"/>
            <a:round/>
            <a:headEnd/>
            <a:tailEnd/>
          </a:ln>
        </xdr:spPr>
        <xdr:txBody>
          <a:bodyPr/>
          <a:lstStyle/>
          <a:p>
            <a:endParaRPr lang="nb-NO"/>
          </a:p>
        </xdr:txBody>
      </xdr:sp>
      <xdr:sp macro="" textlink="">
        <xdr:nvSpPr>
          <xdr:cNvPr id="5" name="Freeform 33">
            <a:extLst>
              <a:ext uri="{FF2B5EF4-FFF2-40B4-BE49-F238E27FC236}">
                <a16:creationId xmlns:a16="http://schemas.microsoft.com/office/drawing/2014/main" id="{C95F5D39-C8C2-4E8B-BBD4-72363136A80F}"/>
              </a:ext>
            </a:extLst>
          </xdr:cNvPr>
          <xdr:cNvSpPr>
            <a:spLocks/>
          </xdr:cNvSpPr>
        </xdr:nvSpPr>
        <xdr:spPr bwMode="auto">
          <a:xfrm>
            <a:off x="2626222" y="7697714"/>
            <a:ext cx="4038599" cy="704850"/>
          </a:xfrm>
          <a:custGeom>
            <a:avLst/>
            <a:gdLst>
              <a:gd name="T0" fmla="*/ 2147483646 w 415"/>
              <a:gd name="T1" fmla="*/ 2147483646 h 76"/>
              <a:gd name="T2" fmla="*/ 2147483646 w 415"/>
              <a:gd name="T3" fmla="*/ 0 h 76"/>
              <a:gd name="T4" fmla="*/ 2147483646 w 415"/>
              <a:gd name="T5" fmla="*/ 2147483646 h 76"/>
              <a:gd name="T6" fmla="*/ 0 w 415"/>
              <a:gd name="T7" fmla="*/ 2147483646 h 76"/>
              <a:gd name="T8" fmla="*/ 2147483646 w 415"/>
              <a:gd name="T9" fmla="*/ 2147483646 h 76"/>
              <a:gd name="T10" fmla="*/ 0 60000 65536"/>
              <a:gd name="T11" fmla="*/ 0 60000 65536"/>
              <a:gd name="T12" fmla="*/ 0 60000 65536"/>
              <a:gd name="T13" fmla="*/ 0 60000 65536"/>
              <a:gd name="T14" fmla="*/ 0 60000 65536"/>
              <a:gd name="T15" fmla="*/ 0 w 415"/>
              <a:gd name="T16" fmla="*/ 0 h 76"/>
              <a:gd name="T17" fmla="*/ 415 w 415"/>
              <a:gd name="T18" fmla="*/ 76 h 76"/>
            </a:gdLst>
            <a:ahLst/>
            <a:cxnLst>
              <a:cxn ang="T10">
                <a:pos x="T0" y="T1"/>
              </a:cxn>
              <a:cxn ang="T11">
                <a:pos x="T2" y="T3"/>
              </a:cxn>
              <a:cxn ang="T12">
                <a:pos x="T4" y="T5"/>
              </a:cxn>
              <a:cxn ang="T13">
                <a:pos x="T6" y="T7"/>
              </a:cxn>
              <a:cxn ang="T14">
                <a:pos x="T8" y="T9"/>
              </a:cxn>
            </a:cxnLst>
            <a:rect l="T15" t="T16" r="T17" b="T18"/>
            <a:pathLst>
              <a:path w="415" h="76">
                <a:moveTo>
                  <a:pt x="91" y="33"/>
                </a:moveTo>
                <a:lnTo>
                  <a:pt x="415" y="0"/>
                </a:lnTo>
                <a:lnTo>
                  <a:pt x="415" y="32"/>
                </a:lnTo>
                <a:lnTo>
                  <a:pt x="0" y="76"/>
                </a:lnTo>
                <a:lnTo>
                  <a:pt x="91" y="33"/>
                </a:lnTo>
                <a:close/>
              </a:path>
            </a:pathLst>
          </a:custGeom>
          <a:solidFill>
            <a:schemeClr val="accent3">
              <a:lumMod val="50000"/>
              <a:alpha val="58000"/>
            </a:schemeClr>
          </a:solidFill>
          <a:ln w="9525" cap="flat" cmpd="sng">
            <a:noFill/>
            <a:prstDash val="solid"/>
            <a:round/>
            <a:headEnd/>
            <a:tailEnd/>
          </a:ln>
        </xdr:spPr>
        <xdr:txBody>
          <a:bodyPr/>
          <a:lstStyle/>
          <a:p>
            <a:endParaRPr lang="nb-NO"/>
          </a:p>
        </xdr:txBody>
      </xdr:sp>
    </xdr:grpSp>
    <xdr:clientData/>
  </xdr:twoCellAnchor>
  <xdr:twoCellAnchor>
    <xdr:from>
      <xdr:col>11</xdr:col>
      <xdr:colOff>1645920</xdr:colOff>
      <xdr:row>21</xdr:row>
      <xdr:rowOff>0</xdr:rowOff>
    </xdr:from>
    <xdr:to>
      <xdr:col>11</xdr:col>
      <xdr:colOff>1790700</xdr:colOff>
      <xdr:row>21</xdr:row>
      <xdr:rowOff>266704</xdr:rowOff>
    </xdr:to>
    <xdr:sp macro="" textlink="">
      <xdr:nvSpPr>
        <xdr:cNvPr id="7" name="Pil: venstre og høyre 6">
          <a:extLst>
            <a:ext uri="{FF2B5EF4-FFF2-40B4-BE49-F238E27FC236}">
              <a16:creationId xmlns:a16="http://schemas.microsoft.com/office/drawing/2014/main" id="{6169F3C0-05CE-4B51-9902-BA296550D2C8}"/>
            </a:ext>
          </a:extLst>
        </xdr:cNvPr>
        <xdr:cNvSpPr/>
      </xdr:nvSpPr>
      <xdr:spPr>
        <a:xfrm rot="5400000">
          <a:off x="8938258" y="4419602"/>
          <a:ext cx="266704" cy="144780"/>
        </a:xfrm>
        <a:prstGeom prst="leftRight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0</xdr:col>
      <xdr:colOff>63614</xdr:colOff>
      <xdr:row>16</xdr:row>
      <xdr:rowOff>19018</xdr:rowOff>
    </xdr:from>
    <xdr:ext cx="1301388" cy="844582"/>
    <xdr:pic>
      <xdr:nvPicPr>
        <xdr:cNvPr id="12" name="Bilde 2" descr="Skjermutklipp">
          <a:hlinkClick xmlns:r="http://schemas.openxmlformats.org/officeDocument/2006/relationships" r:id="rId3"/>
          <a:extLst>
            <a:ext uri="{FF2B5EF4-FFF2-40B4-BE49-F238E27FC236}">
              <a16:creationId xmlns:a16="http://schemas.microsoft.com/office/drawing/2014/main" id="{C365A0BF-B9A4-448E-B96C-8FB624603E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14" y="3050085"/>
          <a:ext cx="1301388" cy="844582"/>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4343400</xdr:colOff>
      <xdr:row>21</xdr:row>
      <xdr:rowOff>7620</xdr:rowOff>
    </xdr:from>
    <xdr:to>
      <xdr:col>12</xdr:col>
      <xdr:colOff>151448</xdr:colOff>
      <xdr:row>21</xdr:row>
      <xdr:rowOff>265750</xdr:rowOff>
    </xdr:to>
    <xdr:sp macro="" textlink="">
      <xdr:nvSpPr>
        <xdr:cNvPr id="18" name="Pil: venstre og høyre 17">
          <a:extLst>
            <a:ext uri="{FF2B5EF4-FFF2-40B4-BE49-F238E27FC236}">
              <a16:creationId xmlns:a16="http://schemas.microsoft.com/office/drawing/2014/main" id="{A332317B-3805-4CEE-BBA6-307D01D78359}"/>
            </a:ext>
          </a:extLst>
        </xdr:cNvPr>
        <xdr:cNvSpPr/>
      </xdr:nvSpPr>
      <xdr:spPr>
        <a:xfrm rot="5400000">
          <a:off x="11647169" y="4415791"/>
          <a:ext cx="258130" cy="159068"/>
        </a:xfrm>
        <a:prstGeom prst="leftRight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0</xdr:col>
      <xdr:colOff>105553</xdr:colOff>
      <xdr:row>3</xdr:row>
      <xdr:rowOff>37357</xdr:rowOff>
    </xdr:from>
    <xdr:to>
      <xdr:col>1</xdr:col>
      <xdr:colOff>466531</xdr:colOff>
      <xdr:row>5</xdr:row>
      <xdr:rowOff>116474</xdr:rowOff>
    </xdr:to>
    <xdr:pic>
      <xdr:nvPicPr>
        <xdr:cNvPr id="10" name="Grafikk 9" descr="Oppadgående tendens">
          <a:extLst>
            <a:ext uri="{FF2B5EF4-FFF2-40B4-BE49-F238E27FC236}">
              <a16:creationId xmlns:a16="http://schemas.microsoft.com/office/drawing/2014/main" id="{89B4470C-58F7-47C3-8460-96514D6CD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5553" y="503888"/>
          <a:ext cx="876106" cy="876106"/>
        </a:xfrm>
        <a:prstGeom prst="rect">
          <a:avLst/>
        </a:prstGeom>
      </xdr:spPr>
    </xdr:pic>
    <xdr:clientData/>
  </xdr:twoCellAnchor>
  <xdr:twoCellAnchor editAs="absolute">
    <xdr:from>
      <xdr:col>2</xdr:col>
      <xdr:colOff>570094</xdr:colOff>
      <xdr:row>1</xdr:row>
      <xdr:rowOff>1621</xdr:rowOff>
    </xdr:from>
    <xdr:to>
      <xdr:col>5</xdr:col>
      <xdr:colOff>105979</xdr:colOff>
      <xdr:row>3</xdr:row>
      <xdr:rowOff>7140</xdr:rowOff>
    </xdr:to>
    <xdr:sp macro="" textlink="">
      <xdr:nvSpPr>
        <xdr:cNvPr id="13" name="Flik_02">
          <a:hlinkClick xmlns:r="http://schemas.openxmlformats.org/officeDocument/2006/relationships" r:id="rId7"/>
          <a:extLst>
            <a:ext uri="{FF2B5EF4-FFF2-40B4-BE49-F238E27FC236}">
              <a16:creationId xmlns:a16="http://schemas.microsoft.com/office/drawing/2014/main" id="{80F4BF30-75CE-46A6-AE78-C3EA4FFB7012}"/>
            </a:ext>
          </a:extLst>
        </xdr:cNvPr>
        <xdr:cNvSpPr>
          <a:spLocks/>
        </xdr:cNvSpPr>
      </xdr:nvSpPr>
      <xdr:spPr bwMode="auto">
        <a:xfrm>
          <a:off x="2010274" y="154021"/>
          <a:ext cx="2240985" cy="31031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Kostnad</a:t>
          </a:r>
          <a:r>
            <a:rPr lang="nb-NO" sz="1400" b="1" i="1" baseline="0">
              <a:solidFill>
                <a:srgbClr val="953735">
                  <a:lumMod val="75000"/>
                </a:srgbClr>
              </a:solidFill>
              <a:latin typeface="Calibri" panose="020F0502020204030204" pitchFamily="34" charset="0"/>
            </a:rPr>
            <a:t> ryddetrær</a:t>
          </a:r>
          <a:endParaRPr lang="nb-NO" sz="1400" b="1" i="1">
            <a:solidFill>
              <a:srgbClr val="953735">
                <a:lumMod val="75000"/>
              </a:srgbClr>
            </a:solidFill>
            <a:latin typeface="Calibri" panose="020F0502020204030204" pitchFamily="34" charset="0"/>
          </a:endParaRPr>
        </a:p>
      </xdr:txBody>
    </xdr:sp>
    <xdr:clientData/>
  </xdr:twoCellAnchor>
  <xdr:twoCellAnchor editAs="absolute">
    <xdr:from>
      <xdr:col>0</xdr:col>
      <xdr:colOff>38877</xdr:colOff>
      <xdr:row>1</xdr:row>
      <xdr:rowOff>1621</xdr:rowOff>
    </xdr:from>
    <xdr:to>
      <xdr:col>2</xdr:col>
      <xdr:colOff>756482</xdr:colOff>
      <xdr:row>3</xdr:row>
      <xdr:rowOff>7140</xdr:rowOff>
    </xdr:to>
    <xdr:sp macro="ArkFaneKlikk" textlink="">
      <xdr:nvSpPr>
        <xdr:cNvPr id="14" name="Flik_01">
          <a:extLst>
            <a:ext uri="{FF2B5EF4-FFF2-40B4-BE49-F238E27FC236}">
              <a16:creationId xmlns:a16="http://schemas.microsoft.com/office/drawing/2014/main" id="{86DC3F5B-4352-4489-A39D-F07D25CE3A80}"/>
            </a:ext>
          </a:extLst>
        </xdr:cNvPr>
        <xdr:cNvSpPr>
          <a:spLocks/>
        </xdr:cNvSpPr>
      </xdr:nvSpPr>
      <xdr:spPr bwMode="auto">
        <a:xfrm>
          <a:off x="38877" y="154021"/>
          <a:ext cx="2157785" cy="31031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FFFFFF">
            <a:lumMod val="10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0" baseline="0">
              <a:solidFill>
                <a:srgbClr val="376092">
                  <a:lumMod val="75000"/>
                </a:srgbClr>
              </a:solidFill>
              <a:latin typeface="Calibri" panose="020F0502020204030204" pitchFamily="34" charset="0"/>
            </a:rPr>
            <a:t>Forside</a:t>
          </a:r>
        </a:p>
      </xdr:txBody>
    </xdr:sp>
    <xdr:clientData/>
  </xdr:twoCellAnchor>
  <xdr:twoCellAnchor editAs="oneCell">
    <xdr:from>
      <xdr:col>11</xdr:col>
      <xdr:colOff>2065095</xdr:colOff>
      <xdr:row>40</xdr:row>
      <xdr:rowOff>187708</xdr:rowOff>
    </xdr:from>
    <xdr:to>
      <xdr:col>12</xdr:col>
      <xdr:colOff>187676</xdr:colOff>
      <xdr:row>45</xdr:row>
      <xdr:rowOff>137160</xdr:rowOff>
    </xdr:to>
    <xdr:pic>
      <xdr:nvPicPr>
        <xdr:cNvPr id="19" name="Grafikk 18">
          <a:extLst>
            <a:ext uri="{FF2B5EF4-FFF2-40B4-BE49-F238E27FC236}">
              <a16:creationId xmlns:a16="http://schemas.microsoft.com/office/drawing/2014/main" id="{02E67657-B056-4AE0-8007-41D1999E66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639375" y="9392668"/>
          <a:ext cx="2473601" cy="787652"/>
        </a:xfrm>
        <a:prstGeom prst="rect">
          <a:avLst/>
        </a:prstGeom>
      </xdr:spPr>
    </xdr:pic>
    <xdr:clientData/>
  </xdr:twoCellAnchor>
  <xdr:twoCellAnchor editAs="oneCell">
    <xdr:from>
      <xdr:col>11</xdr:col>
      <xdr:colOff>3673931</xdr:colOff>
      <xdr:row>39</xdr:row>
      <xdr:rowOff>79148</xdr:rowOff>
    </xdr:from>
    <xdr:to>
      <xdr:col>11</xdr:col>
      <xdr:colOff>4141931</xdr:colOff>
      <xdr:row>40</xdr:row>
      <xdr:rowOff>67088</xdr:rowOff>
    </xdr:to>
    <xdr:pic>
      <xdr:nvPicPr>
        <xdr:cNvPr id="20" name="Bilde 19" descr="E-mail icon">
          <a:hlinkClick xmlns:r="http://schemas.openxmlformats.org/officeDocument/2006/relationships" r:id="rId10" tooltip="E-mail"/>
          <a:extLst>
            <a:ext uri="{FF2B5EF4-FFF2-40B4-BE49-F238E27FC236}">
              <a16:creationId xmlns:a16="http://schemas.microsoft.com/office/drawing/2014/main" id="{F56241CE-6721-4D2B-B39D-4E78EB13BF65}"/>
            </a:ext>
          </a:extLst>
        </xdr:cNvPr>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248211" y="8804048"/>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2954695</xdr:colOff>
      <xdr:row>39</xdr:row>
      <xdr:rowOff>79147</xdr:rowOff>
    </xdr:from>
    <xdr:to>
      <xdr:col>11</xdr:col>
      <xdr:colOff>3422695</xdr:colOff>
      <xdr:row>40</xdr:row>
      <xdr:rowOff>67087</xdr:rowOff>
    </xdr:to>
    <xdr:pic>
      <xdr:nvPicPr>
        <xdr:cNvPr id="21" name="Bilde 20" descr="Facebook icon">
          <a:hlinkClick xmlns:r="http://schemas.openxmlformats.org/officeDocument/2006/relationships" r:id="rId12" tooltip="Facebook"/>
          <a:extLst>
            <a:ext uri="{FF2B5EF4-FFF2-40B4-BE49-F238E27FC236}">
              <a16:creationId xmlns:a16="http://schemas.microsoft.com/office/drawing/2014/main" id="{5586649D-B513-4B4B-B857-3AC9FF9B1F8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528975" y="8804047"/>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60960</xdr:colOff>
      <xdr:row>15</xdr:row>
      <xdr:rowOff>99060</xdr:rowOff>
    </xdr:from>
    <xdr:to>
      <xdr:col>3</xdr:col>
      <xdr:colOff>899160</xdr:colOff>
      <xdr:row>15</xdr:row>
      <xdr:rowOff>594360</xdr:rowOff>
    </xdr:to>
    <xdr:sp macro="" textlink="">
      <xdr:nvSpPr>
        <xdr:cNvPr id="22" name="TekstSylinder 21">
          <a:hlinkClick xmlns:r="http://schemas.openxmlformats.org/officeDocument/2006/relationships" r:id="rId14"/>
          <a:extLst>
            <a:ext uri="{FF2B5EF4-FFF2-40B4-BE49-F238E27FC236}">
              <a16:creationId xmlns:a16="http://schemas.microsoft.com/office/drawing/2014/main" id="{CC998BBC-0E07-4D72-8D60-B002E4FC8066}"/>
            </a:ext>
          </a:extLst>
        </xdr:cNvPr>
        <xdr:cNvSpPr txBox="1"/>
      </xdr:nvSpPr>
      <xdr:spPr>
        <a:xfrm>
          <a:off x="2331720" y="3360420"/>
          <a:ext cx="8382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xdr:col>
      <xdr:colOff>472440</xdr:colOff>
      <xdr:row>20</xdr:row>
      <xdr:rowOff>205740</xdr:rowOff>
    </xdr:from>
    <xdr:to>
      <xdr:col>3</xdr:col>
      <xdr:colOff>922020</xdr:colOff>
      <xdr:row>23</xdr:row>
      <xdr:rowOff>15240</xdr:rowOff>
    </xdr:to>
    <xdr:sp macro="" textlink="">
      <xdr:nvSpPr>
        <xdr:cNvPr id="23" name="TekstSylinder 22">
          <a:hlinkClick xmlns:r="http://schemas.openxmlformats.org/officeDocument/2006/relationships" r:id="rId14"/>
          <a:extLst>
            <a:ext uri="{FF2B5EF4-FFF2-40B4-BE49-F238E27FC236}">
              <a16:creationId xmlns:a16="http://schemas.microsoft.com/office/drawing/2014/main" id="{3AF99730-E751-46EC-B25C-3588BDE4F535}"/>
            </a:ext>
          </a:extLst>
        </xdr:cNvPr>
        <xdr:cNvSpPr txBox="1"/>
      </xdr:nvSpPr>
      <xdr:spPr>
        <a:xfrm>
          <a:off x="998220" y="5402580"/>
          <a:ext cx="219456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4</xdr:col>
      <xdr:colOff>53340</xdr:colOff>
      <xdr:row>15</xdr:row>
      <xdr:rowOff>114300</xdr:rowOff>
    </xdr:from>
    <xdr:to>
      <xdr:col>4</xdr:col>
      <xdr:colOff>929640</xdr:colOff>
      <xdr:row>15</xdr:row>
      <xdr:rowOff>609600</xdr:rowOff>
    </xdr:to>
    <xdr:sp macro="" textlink="">
      <xdr:nvSpPr>
        <xdr:cNvPr id="25" name="TekstSylinder 24">
          <a:hlinkClick xmlns:r="http://schemas.openxmlformats.org/officeDocument/2006/relationships" r:id="rId15"/>
          <a:extLst>
            <a:ext uri="{FF2B5EF4-FFF2-40B4-BE49-F238E27FC236}">
              <a16:creationId xmlns:a16="http://schemas.microsoft.com/office/drawing/2014/main" id="{07605BD9-ADCD-4F53-89FE-C2F3F1CB61AC}"/>
            </a:ext>
          </a:extLst>
        </xdr:cNvPr>
        <xdr:cNvSpPr txBox="1"/>
      </xdr:nvSpPr>
      <xdr:spPr>
        <a:xfrm>
          <a:off x="3261360" y="3375660"/>
          <a:ext cx="8763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6</xdr:col>
      <xdr:colOff>335280</xdr:colOff>
      <xdr:row>39</xdr:row>
      <xdr:rowOff>137160</xdr:rowOff>
    </xdr:from>
    <xdr:to>
      <xdr:col>7</xdr:col>
      <xdr:colOff>762000</xdr:colOff>
      <xdr:row>39</xdr:row>
      <xdr:rowOff>342900</xdr:rowOff>
    </xdr:to>
    <xdr:sp macro="" textlink="">
      <xdr:nvSpPr>
        <xdr:cNvPr id="6" name="TekstSylinder 5">
          <a:hlinkClick xmlns:r="http://schemas.openxmlformats.org/officeDocument/2006/relationships" r:id="rId16"/>
          <a:extLst>
            <a:ext uri="{FF2B5EF4-FFF2-40B4-BE49-F238E27FC236}">
              <a16:creationId xmlns:a16="http://schemas.microsoft.com/office/drawing/2014/main" id="{6D60C66C-33C8-40EA-BE9A-A14499B6CDC8}"/>
            </a:ext>
          </a:extLst>
        </xdr:cNvPr>
        <xdr:cNvSpPr txBox="1"/>
      </xdr:nvSpPr>
      <xdr:spPr>
        <a:xfrm>
          <a:off x="5417820" y="8862060"/>
          <a:ext cx="136398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8675</xdr:rowOff>
    </xdr:from>
    <xdr:to>
      <xdr:col>7</xdr:col>
      <xdr:colOff>106660</xdr:colOff>
      <xdr:row>3</xdr:row>
      <xdr:rowOff>18020</xdr:rowOff>
    </xdr:to>
    <xdr:grpSp>
      <xdr:nvGrpSpPr>
        <xdr:cNvPr id="2" name="Gruppe 5" descr="&quot;&quot;" title="Navigasjonsgrafikk">
          <a:extLst>
            <a:ext uri="{FF2B5EF4-FFF2-40B4-BE49-F238E27FC236}">
              <a16:creationId xmlns:a16="http://schemas.microsoft.com/office/drawing/2014/main" id="{ED829FB9-DF29-4583-8F48-4E4A82225913}"/>
            </a:ext>
          </a:extLst>
        </xdr:cNvPr>
        <xdr:cNvGrpSpPr>
          <a:grpSpLocks noChangeAspect="1"/>
        </xdr:cNvGrpSpPr>
      </xdr:nvGrpSpPr>
      <xdr:grpSpPr bwMode="auto">
        <a:xfrm>
          <a:off x="0" y="180125"/>
          <a:ext cx="6031210" cy="352245"/>
          <a:chOff x="9" y="0"/>
          <a:chExt cx="808" cy="50"/>
        </a:xfrm>
      </xdr:grpSpPr>
      <xdr:sp macro="" textlink="">
        <xdr:nvSpPr>
          <xdr:cNvPr id="3" name="Autofigur 4">
            <a:extLst>
              <a:ext uri="{FF2B5EF4-FFF2-40B4-BE49-F238E27FC236}">
                <a16:creationId xmlns:a16="http://schemas.microsoft.com/office/drawing/2014/main" id="{E7849724-587A-42D0-90C2-1B77E7228317}"/>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Rektangel 3">
            <a:extLst>
              <a:ext uri="{FF2B5EF4-FFF2-40B4-BE49-F238E27FC236}">
                <a16:creationId xmlns:a16="http://schemas.microsoft.com/office/drawing/2014/main" id="{D6672BCC-5F6B-42A6-836D-1467DC9A1357}"/>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ktangel 10">
            <a:extLst>
              <a:ext uri="{FF2B5EF4-FFF2-40B4-BE49-F238E27FC236}">
                <a16:creationId xmlns:a16="http://schemas.microsoft.com/office/drawing/2014/main" id="{CCBAD267-F65D-4B63-BB17-8581149DEBD4}"/>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6" name="Frihånd 8">
            <a:extLst>
              <a:ext uri="{FF2B5EF4-FFF2-40B4-BE49-F238E27FC236}">
                <a16:creationId xmlns:a16="http://schemas.microsoft.com/office/drawing/2014/main" id="{DDE9397F-98FC-448B-8F33-593EB2615C55}"/>
              </a:ext>
            </a:extLst>
          </xdr:cNvPr>
          <xdr:cNvSpPr>
            <a:spLocks/>
          </xdr:cNvSpPr>
        </xdr:nvSpPr>
        <xdr:spPr bwMode="auto">
          <a:xfrm>
            <a:off x="50" y="1"/>
            <a:ext cx="218" cy="49"/>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xdr:from>
      <xdr:col>16</xdr:col>
      <xdr:colOff>112059</xdr:colOff>
      <xdr:row>1</xdr:row>
      <xdr:rowOff>11207</xdr:rowOff>
    </xdr:from>
    <xdr:to>
      <xdr:col>18</xdr:col>
      <xdr:colOff>240428</xdr:colOff>
      <xdr:row>3</xdr:row>
      <xdr:rowOff>1</xdr:rowOff>
    </xdr:to>
    <xdr:sp macro="" textlink="">
      <xdr:nvSpPr>
        <xdr:cNvPr id="7" name="Frihånd 9">
          <a:extLst>
            <a:ext uri="{FF2B5EF4-FFF2-40B4-BE49-F238E27FC236}">
              <a16:creationId xmlns:a16="http://schemas.microsoft.com/office/drawing/2014/main" id="{9354FB42-71DA-41DF-BE3C-156CC2C51C00}"/>
            </a:ext>
          </a:extLst>
        </xdr:cNvPr>
        <xdr:cNvSpPr>
          <a:spLocks/>
        </xdr:cNvSpPr>
      </xdr:nvSpPr>
      <xdr:spPr bwMode="auto">
        <a:xfrm>
          <a:off x="9403080" y="178847"/>
          <a:ext cx="0"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8</xdr:col>
      <xdr:colOff>333375</xdr:colOff>
      <xdr:row>1</xdr:row>
      <xdr:rowOff>30256</xdr:rowOff>
    </xdr:from>
    <xdr:to>
      <xdr:col>11</xdr:col>
      <xdr:colOff>314325</xdr:colOff>
      <xdr:row>3</xdr:row>
      <xdr:rowOff>19050</xdr:rowOff>
    </xdr:to>
    <xdr:sp macro="" textlink="">
      <xdr:nvSpPr>
        <xdr:cNvPr id="8" name="Frihånd 9">
          <a:extLst>
            <a:ext uri="{FF2B5EF4-FFF2-40B4-BE49-F238E27FC236}">
              <a16:creationId xmlns:a16="http://schemas.microsoft.com/office/drawing/2014/main" id="{F8609B11-5109-48CF-9D21-CFFB0DB6BD99}"/>
            </a:ext>
          </a:extLst>
        </xdr:cNvPr>
        <xdr:cNvSpPr>
          <a:spLocks/>
        </xdr:cNvSpPr>
      </xdr:nvSpPr>
      <xdr:spPr bwMode="auto">
        <a:xfrm>
          <a:off x="7237095" y="197896"/>
          <a:ext cx="1703070"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6</xdr:col>
      <xdr:colOff>266139</xdr:colOff>
      <xdr:row>1</xdr:row>
      <xdr:rowOff>22092</xdr:rowOff>
    </xdr:from>
    <xdr:to>
      <xdr:col>8</xdr:col>
      <xdr:colOff>495300</xdr:colOff>
      <xdr:row>3</xdr:row>
      <xdr:rowOff>16402</xdr:rowOff>
    </xdr:to>
    <xdr:sp macro="" textlink="">
      <xdr:nvSpPr>
        <xdr:cNvPr id="9" name="Frihånd 9">
          <a:extLst>
            <a:ext uri="{FF2B5EF4-FFF2-40B4-BE49-F238E27FC236}">
              <a16:creationId xmlns:a16="http://schemas.microsoft.com/office/drawing/2014/main" id="{784278BE-4343-4FFD-A766-5B677724B9C3}"/>
            </a:ext>
          </a:extLst>
        </xdr:cNvPr>
        <xdr:cNvSpPr>
          <a:spLocks/>
        </xdr:cNvSpPr>
      </xdr:nvSpPr>
      <xdr:spPr bwMode="auto">
        <a:xfrm>
          <a:off x="5523939" y="189732"/>
          <a:ext cx="1875081" cy="32959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78442</xdr:colOff>
      <xdr:row>1</xdr:row>
      <xdr:rowOff>8565</xdr:rowOff>
    </xdr:from>
    <xdr:to>
      <xdr:col>6</xdr:col>
      <xdr:colOff>484557</xdr:colOff>
      <xdr:row>3</xdr:row>
      <xdr:rowOff>2876</xdr:rowOff>
    </xdr:to>
    <xdr:sp macro="" textlink="">
      <xdr:nvSpPr>
        <xdr:cNvPr id="10" name="Frihånd 9">
          <a:extLst>
            <a:ext uri="{FF2B5EF4-FFF2-40B4-BE49-F238E27FC236}">
              <a16:creationId xmlns:a16="http://schemas.microsoft.com/office/drawing/2014/main" id="{1D345832-FBA3-4768-A719-742BB7C02399}"/>
            </a:ext>
          </a:extLst>
        </xdr:cNvPr>
        <xdr:cNvSpPr>
          <a:spLocks/>
        </xdr:cNvSpPr>
      </xdr:nvSpPr>
      <xdr:spPr bwMode="auto">
        <a:xfrm>
          <a:off x="3583642" y="176205"/>
          <a:ext cx="2158715"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1163011</xdr:colOff>
      <xdr:row>0</xdr:row>
      <xdr:rowOff>159602</xdr:rowOff>
    </xdr:from>
    <xdr:to>
      <xdr:col>4</xdr:col>
      <xdr:colOff>433330</xdr:colOff>
      <xdr:row>2</xdr:row>
      <xdr:rowOff>153913</xdr:rowOff>
    </xdr:to>
    <xdr:sp macro="" textlink="">
      <xdr:nvSpPr>
        <xdr:cNvPr id="11" name="Frihånd 9">
          <a:extLst>
            <a:ext uri="{FF2B5EF4-FFF2-40B4-BE49-F238E27FC236}">
              <a16:creationId xmlns:a16="http://schemas.microsoft.com/office/drawing/2014/main" id="{C2C1CB87-00F8-4B1B-929E-001C74CECDCB}"/>
            </a:ext>
          </a:extLst>
        </xdr:cNvPr>
        <xdr:cNvSpPr>
          <a:spLocks/>
        </xdr:cNvSpPr>
      </xdr:nvSpPr>
      <xdr:spPr bwMode="auto">
        <a:xfrm>
          <a:off x="1978351" y="159602"/>
          <a:ext cx="1960179"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364956</xdr:colOff>
      <xdr:row>1</xdr:row>
      <xdr:rowOff>2636</xdr:rowOff>
    </xdr:from>
    <xdr:to>
      <xdr:col>2</xdr:col>
      <xdr:colOff>1066240</xdr:colOff>
      <xdr:row>2</xdr:row>
      <xdr:rowOff>153175</xdr:rowOff>
    </xdr:to>
    <xdr:sp macro="" textlink="">
      <xdr:nvSpPr>
        <xdr:cNvPr id="12" name="Sporing av vekttap" descr="Navigasjonsknapp" title="Sporing av vekttap">
          <a:hlinkClick xmlns:r="http://schemas.openxmlformats.org/officeDocument/2006/relationships" r:id="rId1"/>
          <a:extLst>
            <a:ext uri="{FF2B5EF4-FFF2-40B4-BE49-F238E27FC236}">
              <a16:creationId xmlns:a16="http://schemas.microsoft.com/office/drawing/2014/main" id="{B2D40796-5C45-48A3-B381-B7BCFD26435B}"/>
            </a:ext>
          </a:extLst>
        </xdr:cNvPr>
        <xdr:cNvSpPr/>
      </xdr:nvSpPr>
      <xdr:spPr>
        <a:xfrm>
          <a:off x="563076" y="170276"/>
          <a:ext cx="1318504" cy="3334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6</xdr:col>
      <xdr:colOff>616884</xdr:colOff>
      <xdr:row>1</xdr:row>
      <xdr:rowOff>28575</xdr:rowOff>
    </xdr:from>
    <xdr:to>
      <xdr:col>8</xdr:col>
      <xdr:colOff>301835</xdr:colOff>
      <xdr:row>2</xdr:row>
      <xdr:rowOff>138325</xdr:rowOff>
    </xdr:to>
    <xdr:sp macro="" textlink="">
      <xdr:nvSpPr>
        <xdr:cNvPr id="13" name="BMI-info" descr="Navigasjonsknapp" title="BMI-info">
          <a:hlinkClick xmlns:r="http://schemas.openxmlformats.org/officeDocument/2006/relationships" r:id="rId2" tooltip="Klikk for å vise ark med BMI-info"/>
          <a:extLst>
            <a:ext uri="{FF2B5EF4-FFF2-40B4-BE49-F238E27FC236}">
              <a16:creationId xmlns:a16="http://schemas.microsoft.com/office/drawing/2014/main" id="{07F08A84-1A64-4327-B04B-AF1D2BC12674}"/>
            </a:ext>
          </a:extLst>
        </xdr:cNvPr>
        <xdr:cNvSpPr/>
      </xdr:nvSpPr>
      <xdr:spPr>
        <a:xfrm>
          <a:off x="5874684" y="196215"/>
          <a:ext cx="1330871" cy="292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4</xdr:col>
      <xdr:colOff>465605</xdr:colOff>
      <xdr:row>1</xdr:row>
      <xdr:rowOff>19050</xdr:rowOff>
    </xdr:from>
    <xdr:to>
      <xdr:col>6</xdr:col>
      <xdr:colOff>300603</xdr:colOff>
      <xdr:row>2</xdr:row>
      <xdr:rowOff>131601</xdr:rowOff>
    </xdr:to>
    <xdr:sp macro="" textlink="">
      <xdr:nvSpPr>
        <xdr:cNvPr id="14" name="BMI-info" descr="Navigasjonsknapp" title="BMI-info">
          <a:hlinkClick xmlns:r="http://schemas.openxmlformats.org/officeDocument/2006/relationships" r:id="rId3" tooltip="Klikk for å vise ark med BMI-info"/>
          <a:extLst>
            <a:ext uri="{FF2B5EF4-FFF2-40B4-BE49-F238E27FC236}">
              <a16:creationId xmlns:a16="http://schemas.microsoft.com/office/drawing/2014/main" id="{CC21F177-7CA2-4409-8440-AC51EE309A9D}"/>
            </a:ext>
          </a:extLst>
        </xdr:cNvPr>
        <xdr:cNvSpPr/>
      </xdr:nvSpPr>
      <xdr:spPr>
        <a:xfrm>
          <a:off x="3970805" y="186690"/>
          <a:ext cx="1587598" cy="2954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2</xdr:col>
      <xdr:colOff>1425549</xdr:colOff>
      <xdr:row>1</xdr:row>
      <xdr:rowOff>1</xdr:rowOff>
    </xdr:from>
    <xdr:to>
      <xdr:col>4</xdr:col>
      <xdr:colOff>226244</xdr:colOff>
      <xdr:row>2</xdr:row>
      <xdr:rowOff>136724</xdr:rowOff>
    </xdr:to>
    <xdr:sp macro="" textlink="">
      <xdr:nvSpPr>
        <xdr:cNvPr id="15"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C0CB951C-3FB2-482B-B367-C67DA1BF9C14}"/>
            </a:ext>
          </a:extLst>
        </xdr:cNvPr>
        <xdr:cNvSpPr/>
      </xdr:nvSpPr>
      <xdr:spPr>
        <a:xfrm>
          <a:off x="2240889" y="167641"/>
          <a:ext cx="1490555" cy="3196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8</xdr:col>
      <xdr:colOff>578783</xdr:colOff>
      <xdr:row>1</xdr:row>
      <xdr:rowOff>41462</xdr:rowOff>
    </xdr:from>
    <xdr:to>
      <xdr:col>11</xdr:col>
      <xdr:colOff>99060</xdr:colOff>
      <xdr:row>2</xdr:row>
      <xdr:rowOff>141643</xdr:rowOff>
    </xdr:to>
    <xdr:sp macro="" textlink="">
      <xdr:nvSpPr>
        <xdr:cNvPr id="16"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93520EB7-7031-4AD8-9179-2BC55DE8DDEC}"/>
            </a:ext>
          </a:extLst>
        </xdr:cNvPr>
        <xdr:cNvSpPr/>
      </xdr:nvSpPr>
      <xdr:spPr>
        <a:xfrm>
          <a:off x="7482503" y="209102"/>
          <a:ext cx="1257637" cy="2830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33618</xdr:colOff>
      <xdr:row>1</xdr:row>
      <xdr:rowOff>19050</xdr:rowOff>
    </xdr:from>
    <xdr:to>
      <xdr:col>1</xdr:col>
      <xdr:colOff>1632519</xdr:colOff>
      <xdr:row>3</xdr:row>
      <xdr:rowOff>13361</xdr:rowOff>
    </xdr:to>
    <xdr:sp macro="" textlink="">
      <xdr:nvSpPr>
        <xdr:cNvPr id="44" name="Frihånd 9">
          <a:extLst>
            <a:ext uri="{FF2B5EF4-FFF2-40B4-BE49-F238E27FC236}">
              <a16:creationId xmlns:a16="http://schemas.microsoft.com/office/drawing/2014/main" id="{00000000-0008-0000-0300-00002C000000}"/>
            </a:ext>
          </a:extLst>
        </xdr:cNvPr>
        <xdr:cNvSpPr>
          <a:spLocks/>
        </xdr:cNvSpPr>
      </xdr:nvSpPr>
      <xdr:spPr bwMode="auto">
        <a:xfrm>
          <a:off x="571500" y="187138"/>
          <a:ext cx="1598901" cy="330488"/>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19771</xdr:rowOff>
    </xdr:from>
    <xdr:to>
      <xdr:col>1</xdr:col>
      <xdr:colOff>2947147</xdr:colOff>
      <xdr:row>3</xdr:row>
      <xdr:rowOff>14082</xdr:rowOff>
    </xdr:to>
    <xdr:sp macro="" textlink="">
      <xdr:nvSpPr>
        <xdr:cNvPr id="45" name="Frihånd 9">
          <a:extLst>
            <a:ext uri="{FF2B5EF4-FFF2-40B4-BE49-F238E27FC236}">
              <a16:creationId xmlns:a16="http://schemas.microsoft.com/office/drawing/2014/main" id="{00000000-0008-0000-0300-00002D000000}"/>
            </a:ext>
          </a:extLst>
        </xdr:cNvPr>
        <xdr:cNvSpPr>
          <a:spLocks/>
        </xdr:cNvSpPr>
      </xdr:nvSpPr>
      <xdr:spPr bwMode="auto">
        <a:xfrm>
          <a:off x="1968874" y="187859"/>
          <a:ext cx="1516155" cy="330488"/>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1570506</xdr:colOff>
      <xdr:row>1</xdr:row>
      <xdr:rowOff>30256</xdr:rowOff>
    </xdr:from>
    <xdr:to>
      <xdr:col>1</xdr:col>
      <xdr:colOff>2809876</xdr:colOff>
      <xdr:row>2</xdr:row>
      <xdr:rowOff>138997</xdr:rowOff>
    </xdr:to>
    <xdr:sp macro="" textlink="">
      <xdr:nvSpPr>
        <xdr:cNvPr id="52" name="BMI-info" descr="Navigasjonsknapp" title="BMI-info">
          <a:hlinkClick xmlns:r="http://schemas.openxmlformats.org/officeDocument/2006/relationships" r:id="rId1" tooltip="Klikk for å vise ark med BMI-info"/>
          <a:extLst>
            <a:ext uri="{FF2B5EF4-FFF2-40B4-BE49-F238E27FC236}">
              <a16:creationId xmlns:a16="http://schemas.microsoft.com/office/drawing/2014/main" id="{00000000-0008-0000-0300-000034000000}"/>
            </a:ext>
          </a:extLst>
        </xdr:cNvPr>
        <xdr:cNvSpPr/>
      </xdr:nvSpPr>
      <xdr:spPr>
        <a:xfrm>
          <a:off x="2108388" y="198344"/>
          <a:ext cx="1239370" cy="276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523875</xdr:colOff>
      <xdr:row>10</xdr:row>
      <xdr:rowOff>63103</xdr:rowOff>
    </xdr:from>
    <xdr:to>
      <xdr:col>3</xdr:col>
      <xdr:colOff>532124</xdr:colOff>
      <xdr:row>15</xdr:row>
      <xdr:rowOff>220866</xdr:rowOff>
    </xdr:to>
    <xdr:pic>
      <xdr:nvPicPr>
        <xdr:cNvPr id="12" name="Bild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6496050" y="1529953"/>
          <a:ext cx="3827774" cy="126045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333374</xdr:colOff>
      <xdr:row>6</xdr:row>
      <xdr:rowOff>134960</xdr:rowOff>
    </xdr:from>
    <xdr:to>
      <xdr:col>2</xdr:col>
      <xdr:colOff>186891</xdr:colOff>
      <xdr:row>8</xdr:row>
      <xdr:rowOff>83819</xdr:rowOff>
    </xdr:to>
    <xdr:pic>
      <xdr:nvPicPr>
        <xdr:cNvPr id="14" name="Bilde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3"/>
        <a:srcRect b="-7919"/>
        <a:stretch/>
      </xdr:blipFill>
      <xdr:spPr>
        <a:xfrm>
          <a:off x="813434" y="2139020"/>
          <a:ext cx="3259657" cy="512739"/>
        </a:xfrm>
        <a:prstGeom prst="rect">
          <a:avLst/>
        </a:prstGeom>
      </xdr:spPr>
    </xdr:pic>
    <xdr:clientData/>
  </xdr:twoCellAnchor>
  <xdr:twoCellAnchor editAs="oneCell">
    <xdr:from>
      <xdr:col>8</xdr:col>
      <xdr:colOff>1534584</xdr:colOff>
      <xdr:row>9</xdr:row>
      <xdr:rowOff>98161</xdr:rowOff>
    </xdr:from>
    <xdr:to>
      <xdr:col>11</xdr:col>
      <xdr:colOff>226495</xdr:colOff>
      <xdr:row>10</xdr:row>
      <xdr:rowOff>124711</xdr:rowOff>
    </xdr:to>
    <xdr:pic>
      <xdr:nvPicPr>
        <xdr:cNvPr id="16" name="Bild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a:stretch>
          <a:fillRect/>
        </a:stretch>
      </xdr:blipFill>
      <xdr:spPr>
        <a:xfrm>
          <a:off x="13726584" y="1366347"/>
          <a:ext cx="2215545" cy="230175"/>
        </a:xfrm>
        <a:prstGeom prst="rect">
          <a:avLst/>
        </a:prstGeom>
      </xdr:spPr>
    </xdr:pic>
    <xdr:clientData/>
  </xdr:twoCellAnchor>
  <xdr:twoCellAnchor editAs="oneCell">
    <xdr:from>
      <xdr:col>8</xdr:col>
      <xdr:colOff>685473</xdr:colOff>
      <xdr:row>6</xdr:row>
      <xdr:rowOff>148167</xdr:rowOff>
    </xdr:from>
    <xdr:to>
      <xdr:col>8</xdr:col>
      <xdr:colOff>1376738</xdr:colOff>
      <xdr:row>8</xdr:row>
      <xdr:rowOff>11703</xdr:rowOff>
    </xdr:to>
    <xdr:pic>
      <xdr:nvPicPr>
        <xdr:cNvPr id="18" name="Bild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5"/>
        <a:stretch>
          <a:fillRect/>
        </a:stretch>
      </xdr:blipFill>
      <xdr:spPr>
        <a:xfrm>
          <a:off x="12866890" y="751417"/>
          <a:ext cx="691265" cy="423333"/>
        </a:xfrm>
        <a:prstGeom prst="rect">
          <a:avLst/>
        </a:prstGeom>
      </xdr:spPr>
    </xdr:pic>
    <xdr:clientData/>
  </xdr:twoCellAnchor>
  <xdr:twoCellAnchor>
    <xdr:from>
      <xdr:col>8</xdr:col>
      <xdr:colOff>1110345</xdr:colOff>
      <xdr:row>8</xdr:row>
      <xdr:rowOff>152400</xdr:rowOff>
    </xdr:from>
    <xdr:to>
      <xdr:col>8</xdr:col>
      <xdr:colOff>1513115</xdr:colOff>
      <xdr:row>10</xdr:row>
      <xdr:rowOff>16329</xdr:rowOff>
    </xdr:to>
    <xdr:cxnSp macro="">
      <xdr:nvCxnSpPr>
        <xdr:cNvPr id="20" name="Vinkel 19">
          <a:extLst>
            <a:ext uri="{FF2B5EF4-FFF2-40B4-BE49-F238E27FC236}">
              <a16:creationId xmlns:a16="http://schemas.microsoft.com/office/drawing/2014/main" id="{00000000-0008-0000-0300-000014000000}"/>
            </a:ext>
          </a:extLst>
        </xdr:cNvPr>
        <xdr:cNvCxnSpPr/>
      </xdr:nvCxnSpPr>
      <xdr:spPr>
        <a:xfrm rot="10800000">
          <a:off x="13302345" y="1219200"/>
          <a:ext cx="402770" cy="266700"/>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442174</xdr:colOff>
      <xdr:row>6</xdr:row>
      <xdr:rowOff>95047</xdr:rowOff>
    </xdr:from>
    <xdr:to>
      <xdr:col>15</xdr:col>
      <xdr:colOff>1624854</xdr:colOff>
      <xdr:row>7</xdr:row>
      <xdr:rowOff>44823</xdr:rowOff>
    </xdr:to>
    <xdr:pic>
      <xdr:nvPicPr>
        <xdr:cNvPr id="30" name="Bilde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6"/>
        <a:stretch>
          <a:fillRect/>
        </a:stretch>
      </xdr:blipFill>
      <xdr:spPr>
        <a:xfrm>
          <a:off x="12443674" y="4409312"/>
          <a:ext cx="1182680" cy="241129"/>
        </a:xfrm>
        <a:prstGeom prst="rect">
          <a:avLst/>
        </a:prstGeom>
      </xdr:spPr>
    </xdr:pic>
    <xdr:clientData/>
  </xdr:twoCellAnchor>
  <xdr:twoCellAnchor editAs="oneCell">
    <xdr:from>
      <xdr:col>15</xdr:col>
      <xdr:colOff>347383</xdr:colOff>
      <xdr:row>17</xdr:row>
      <xdr:rowOff>114913</xdr:rowOff>
    </xdr:from>
    <xdr:to>
      <xdr:col>15</xdr:col>
      <xdr:colOff>2095501</xdr:colOff>
      <xdr:row>18</xdr:row>
      <xdr:rowOff>128877</xdr:rowOff>
    </xdr:to>
    <xdr:pic>
      <xdr:nvPicPr>
        <xdr:cNvPr id="34" name="Bilde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7"/>
        <a:stretch>
          <a:fillRect/>
        </a:stretch>
      </xdr:blipFill>
      <xdr:spPr>
        <a:xfrm>
          <a:off x="17391530" y="809678"/>
          <a:ext cx="1748118" cy="251528"/>
        </a:xfrm>
        <a:prstGeom prst="rect">
          <a:avLst/>
        </a:prstGeom>
      </xdr:spPr>
    </xdr:pic>
    <xdr:clientData/>
  </xdr:twoCellAnchor>
  <xdr:twoCellAnchor editAs="oneCell">
    <xdr:from>
      <xdr:col>15</xdr:col>
      <xdr:colOff>1189112</xdr:colOff>
      <xdr:row>26</xdr:row>
      <xdr:rowOff>179295</xdr:rowOff>
    </xdr:from>
    <xdr:to>
      <xdr:col>15</xdr:col>
      <xdr:colOff>1871383</xdr:colOff>
      <xdr:row>28</xdr:row>
      <xdr:rowOff>127302</xdr:rowOff>
    </xdr:to>
    <xdr:pic>
      <xdr:nvPicPr>
        <xdr:cNvPr id="40" name="Bilde 39">
          <a:extLst>
            <a:ext uri="{FF2B5EF4-FFF2-40B4-BE49-F238E27FC236}">
              <a16:creationId xmlns:a16="http://schemas.microsoft.com/office/drawing/2014/main" id="{00000000-0008-0000-0300-000028000000}"/>
            </a:ext>
          </a:extLst>
        </xdr:cNvPr>
        <xdr:cNvPicPr>
          <a:picLocks noChangeAspect="1"/>
        </xdr:cNvPicPr>
      </xdr:nvPicPr>
      <xdr:blipFill rotWithShape="1">
        <a:blip xmlns:r="http://schemas.openxmlformats.org/officeDocument/2006/relationships" r:embed="rId8"/>
        <a:srcRect t="1" b="2279"/>
        <a:stretch/>
      </xdr:blipFill>
      <xdr:spPr>
        <a:xfrm>
          <a:off x="18233259" y="4291854"/>
          <a:ext cx="682271" cy="488132"/>
        </a:xfrm>
        <a:prstGeom prst="rect">
          <a:avLst/>
        </a:prstGeom>
      </xdr:spPr>
    </xdr:pic>
    <xdr:clientData/>
  </xdr:twoCellAnchor>
  <xdr:oneCellAnchor>
    <xdr:from>
      <xdr:col>8</xdr:col>
      <xdr:colOff>1534584</xdr:colOff>
      <xdr:row>26</xdr:row>
      <xdr:rowOff>98161</xdr:rowOff>
    </xdr:from>
    <xdr:ext cx="2322617" cy="223774"/>
    <xdr:pic>
      <xdr:nvPicPr>
        <xdr:cNvPr id="10" name="Bild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a:stretch>
          <a:fillRect/>
        </a:stretch>
      </xdr:blipFill>
      <xdr:spPr>
        <a:xfrm>
          <a:off x="8276043" y="1980749"/>
          <a:ext cx="2322617" cy="223774"/>
        </a:xfrm>
        <a:prstGeom prst="rect">
          <a:avLst/>
        </a:prstGeom>
      </xdr:spPr>
    </xdr:pic>
    <xdr:clientData/>
  </xdr:oneCellAnchor>
  <xdr:oneCellAnchor>
    <xdr:from>
      <xdr:col>8</xdr:col>
      <xdr:colOff>685473</xdr:colOff>
      <xdr:row>23</xdr:row>
      <xdr:rowOff>148167</xdr:rowOff>
    </xdr:from>
    <xdr:ext cx="691265" cy="428313"/>
    <xdr:pic>
      <xdr:nvPicPr>
        <xdr:cNvPr id="11" name="Bild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7426932" y="1268755"/>
          <a:ext cx="691265" cy="428313"/>
        </a:xfrm>
        <a:prstGeom prst="rect">
          <a:avLst/>
        </a:prstGeom>
      </xdr:spPr>
    </xdr:pic>
    <xdr:clientData/>
  </xdr:oneCellAnchor>
  <xdr:twoCellAnchor>
    <xdr:from>
      <xdr:col>8</xdr:col>
      <xdr:colOff>1110345</xdr:colOff>
      <xdr:row>25</xdr:row>
      <xdr:rowOff>152400</xdr:rowOff>
    </xdr:from>
    <xdr:to>
      <xdr:col>8</xdr:col>
      <xdr:colOff>1513115</xdr:colOff>
      <xdr:row>27</xdr:row>
      <xdr:rowOff>16329</xdr:rowOff>
    </xdr:to>
    <xdr:cxnSp macro="">
      <xdr:nvCxnSpPr>
        <xdr:cNvPr id="13" name="Vinkel 12">
          <a:extLst>
            <a:ext uri="{FF2B5EF4-FFF2-40B4-BE49-F238E27FC236}">
              <a16:creationId xmlns:a16="http://schemas.microsoft.com/office/drawing/2014/main" id="{00000000-0008-0000-0300-00000D000000}"/>
            </a:ext>
          </a:extLst>
        </xdr:cNvPr>
        <xdr:cNvCxnSpPr/>
      </xdr:nvCxnSpPr>
      <xdr:spPr>
        <a:xfrm rot="10800000">
          <a:off x="7851804" y="1837765"/>
          <a:ext cx="402770" cy="258376"/>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794085</xdr:colOff>
      <xdr:row>25</xdr:row>
      <xdr:rowOff>142875</xdr:rowOff>
    </xdr:from>
    <xdr:to>
      <xdr:col>11</xdr:col>
      <xdr:colOff>394447</xdr:colOff>
      <xdr:row>27</xdr:row>
      <xdr:rowOff>161365</xdr:rowOff>
    </xdr:to>
    <xdr:pic>
      <xdr:nvPicPr>
        <xdr:cNvPr id="21" name="Bilde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9"/>
        <a:stretch>
          <a:fillRect/>
        </a:stretch>
      </xdr:blipFill>
      <xdr:spPr>
        <a:xfrm>
          <a:off x="7539790" y="6559717"/>
          <a:ext cx="3241920" cy="483711"/>
        </a:xfrm>
        <a:prstGeom prst="rect">
          <a:avLst/>
        </a:prstGeom>
      </xdr:spPr>
    </xdr:pic>
    <xdr:clientData/>
  </xdr:twoCellAnchor>
  <xdr:twoCellAnchor>
    <xdr:from>
      <xdr:col>6</xdr:col>
      <xdr:colOff>25214</xdr:colOff>
      <xdr:row>1</xdr:row>
      <xdr:rowOff>11206</xdr:rowOff>
    </xdr:from>
    <xdr:to>
      <xdr:col>8</xdr:col>
      <xdr:colOff>1096495</xdr:colOff>
      <xdr:row>3</xdr:row>
      <xdr:rowOff>0</xdr:rowOff>
    </xdr:to>
    <xdr:sp macro="" textlink="">
      <xdr:nvSpPr>
        <xdr:cNvPr id="42" name="Frihånd 9">
          <a:extLst>
            <a:ext uri="{FF2B5EF4-FFF2-40B4-BE49-F238E27FC236}">
              <a16:creationId xmlns:a16="http://schemas.microsoft.com/office/drawing/2014/main" id="{00000000-0008-0000-0300-00002A000000}"/>
            </a:ext>
          </a:extLst>
        </xdr:cNvPr>
        <xdr:cNvSpPr>
          <a:spLocks/>
        </xdr:cNvSpPr>
      </xdr:nvSpPr>
      <xdr:spPr bwMode="auto">
        <a:xfrm>
          <a:off x="5949764" y="182656"/>
          <a:ext cx="1690406"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2729192</xdr:colOff>
      <xdr:row>1</xdr:row>
      <xdr:rowOff>14248</xdr:rowOff>
    </xdr:from>
    <xdr:to>
      <xdr:col>3</xdr:col>
      <xdr:colOff>495300</xdr:colOff>
      <xdr:row>3</xdr:row>
      <xdr:rowOff>11919</xdr:rowOff>
    </xdr:to>
    <xdr:sp macro="" textlink="">
      <xdr:nvSpPr>
        <xdr:cNvPr id="43" name="Frihånd 9">
          <a:extLst>
            <a:ext uri="{FF2B5EF4-FFF2-40B4-BE49-F238E27FC236}">
              <a16:creationId xmlns:a16="http://schemas.microsoft.com/office/drawing/2014/main" id="{00000000-0008-0000-0300-00002B000000}"/>
            </a:ext>
          </a:extLst>
        </xdr:cNvPr>
        <xdr:cNvSpPr>
          <a:spLocks/>
        </xdr:cNvSpPr>
      </xdr:nvSpPr>
      <xdr:spPr bwMode="auto">
        <a:xfrm>
          <a:off x="3195917" y="185698"/>
          <a:ext cx="1595158" cy="34057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16</xdr:col>
      <xdr:colOff>112059</xdr:colOff>
      <xdr:row>1</xdr:row>
      <xdr:rowOff>11207</xdr:rowOff>
    </xdr:from>
    <xdr:to>
      <xdr:col>18</xdr:col>
      <xdr:colOff>240428</xdr:colOff>
      <xdr:row>3</xdr:row>
      <xdr:rowOff>1</xdr:rowOff>
    </xdr:to>
    <xdr:sp macro="" textlink="">
      <xdr:nvSpPr>
        <xdr:cNvPr id="46" name="Frihånd 9">
          <a:extLst>
            <a:ext uri="{FF2B5EF4-FFF2-40B4-BE49-F238E27FC236}">
              <a16:creationId xmlns:a16="http://schemas.microsoft.com/office/drawing/2014/main" id="{00000000-0008-0000-0300-00002E000000}"/>
            </a:ext>
          </a:extLst>
        </xdr:cNvPr>
        <xdr:cNvSpPr>
          <a:spLocks/>
        </xdr:cNvSpPr>
      </xdr:nvSpPr>
      <xdr:spPr bwMode="auto">
        <a:xfrm>
          <a:off x="13142259" y="182657"/>
          <a:ext cx="1547594"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371475</xdr:colOff>
      <xdr:row>1</xdr:row>
      <xdr:rowOff>16727</xdr:rowOff>
    </xdr:from>
    <xdr:to>
      <xdr:col>7</xdr:col>
      <xdr:colOff>57149</xdr:colOff>
      <xdr:row>3</xdr:row>
      <xdr:rowOff>11038</xdr:rowOff>
    </xdr:to>
    <xdr:sp macro="" textlink="">
      <xdr:nvSpPr>
        <xdr:cNvPr id="47" name="Frihånd 9">
          <a:extLst>
            <a:ext uri="{FF2B5EF4-FFF2-40B4-BE49-F238E27FC236}">
              <a16:creationId xmlns:a16="http://schemas.microsoft.com/office/drawing/2014/main" id="{00000000-0008-0000-0300-00002F000000}"/>
            </a:ext>
          </a:extLst>
        </xdr:cNvPr>
        <xdr:cNvSpPr>
          <a:spLocks/>
        </xdr:cNvSpPr>
      </xdr:nvSpPr>
      <xdr:spPr bwMode="auto">
        <a:xfrm>
          <a:off x="4667250" y="188177"/>
          <a:ext cx="1466849"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204152</xdr:colOff>
      <xdr:row>1</xdr:row>
      <xdr:rowOff>10480</xdr:rowOff>
    </xdr:from>
    <xdr:ext cx="1273344" cy="302939"/>
    <xdr:sp macro="" textlink="">
      <xdr:nvSpPr>
        <xdr:cNvPr id="48" name="Sporing av vekttap" descr="Navigasjonsknapp" title="Sporing av vekttap">
          <a:hlinkClick xmlns:r="http://schemas.openxmlformats.org/officeDocument/2006/relationships" r:id="rId10"/>
          <a:extLst>
            <a:ext uri="{FF2B5EF4-FFF2-40B4-BE49-F238E27FC236}">
              <a16:creationId xmlns:a16="http://schemas.microsoft.com/office/drawing/2014/main" id="{00000000-0008-0000-0300-000030000000}"/>
            </a:ext>
          </a:extLst>
        </xdr:cNvPr>
        <xdr:cNvSpPr/>
      </xdr:nvSpPr>
      <xdr:spPr>
        <a:xfrm>
          <a:off x="742034" y="178568"/>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1</xdr:col>
      <xdr:colOff>2664760</xdr:colOff>
      <xdr:row>1</xdr:row>
      <xdr:rowOff>30256</xdr:rowOff>
    </xdr:from>
    <xdr:ext cx="1667995" cy="280191"/>
    <xdr:sp macro="" textlink="">
      <xdr:nvSpPr>
        <xdr:cNvPr id="49"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00000000-0008-0000-0300-000031000000}"/>
            </a:ext>
          </a:extLst>
        </xdr:cNvPr>
        <xdr:cNvSpPr/>
      </xdr:nvSpPr>
      <xdr:spPr>
        <a:xfrm>
          <a:off x="3131485" y="201706"/>
          <a:ext cx="166799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oneCellAnchor>
  <xdr:oneCellAnchor>
    <xdr:from>
      <xdr:col>7</xdr:col>
      <xdr:colOff>2241</xdr:colOff>
      <xdr:row>1</xdr:row>
      <xdr:rowOff>47625</xdr:rowOff>
    </xdr:from>
    <xdr:ext cx="1388409" cy="267821"/>
    <xdr:sp macro="" textlink="">
      <xdr:nvSpPr>
        <xdr:cNvPr id="50"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00000000-0008-0000-0300-000032000000}"/>
            </a:ext>
          </a:extLst>
        </xdr:cNvPr>
        <xdr:cNvSpPr/>
      </xdr:nvSpPr>
      <xdr:spPr>
        <a:xfrm>
          <a:off x="6079191" y="219075"/>
          <a:ext cx="1388409"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xdr:from>
      <xdr:col>16</xdr:col>
      <xdr:colOff>112059</xdr:colOff>
      <xdr:row>1</xdr:row>
      <xdr:rowOff>11207</xdr:rowOff>
    </xdr:from>
    <xdr:to>
      <xdr:col>18</xdr:col>
      <xdr:colOff>240428</xdr:colOff>
      <xdr:row>3</xdr:row>
      <xdr:rowOff>1</xdr:rowOff>
    </xdr:to>
    <xdr:sp macro="" textlink="">
      <xdr:nvSpPr>
        <xdr:cNvPr id="51" name="Frihånd 9">
          <a:extLst>
            <a:ext uri="{FF2B5EF4-FFF2-40B4-BE49-F238E27FC236}">
              <a16:creationId xmlns:a16="http://schemas.microsoft.com/office/drawing/2014/main" id="{00000000-0008-0000-0300-000033000000}"/>
            </a:ext>
          </a:extLst>
        </xdr:cNvPr>
        <xdr:cNvSpPr>
          <a:spLocks/>
        </xdr:cNvSpPr>
      </xdr:nvSpPr>
      <xdr:spPr bwMode="auto">
        <a:xfrm>
          <a:off x="13142259" y="182657"/>
          <a:ext cx="1547594"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3</xdr:col>
      <xdr:colOff>330174</xdr:colOff>
      <xdr:row>1</xdr:row>
      <xdr:rowOff>1</xdr:rowOff>
    </xdr:from>
    <xdr:to>
      <xdr:col>7</xdr:col>
      <xdr:colOff>92894</xdr:colOff>
      <xdr:row>3</xdr:row>
      <xdr:rowOff>9525</xdr:rowOff>
    </xdr:to>
    <xdr:sp macro="" textlink="">
      <xdr:nvSpPr>
        <xdr:cNvPr id="53"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00000000-0008-0000-0300-000035000000}"/>
            </a:ext>
          </a:extLst>
        </xdr:cNvPr>
        <xdr:cNvSpPr/>
      </xdr:nvSpPr>
      <xdr:spPr>
        <a:xfrm>
          <a:off x="4625949" y="171451"/>
          <a:ext cx="1543895" cy="35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1</xdr:col>
      <xdr:colOff>198120</xdr:colOff>
      <xdr:row>5</xdr:row>
      <xdr:rowOff>541020</xdr:rowOff>
    </xdr:from>
    <xdr:to>
      <xdr:col>2</xdr:col>
      <xdr:colOff>464820</xdr:colOff>
      <xdr:row>9</xdr:row>
      <xdr:rowOff>37204</xdr:rowOff>
    </xdr:to>
    <xdr:pic>
      <xdr:nvPicPr>
        <xdr:cNvPr id="28" name="Bilde 27">
          <a:extLst>
            <a:ext uri="{FF2B5EF4-FFF2-40B4-BE49-F238E27FC236}">
              <a16:creationId xmlns:a16="http://schemas.microsoft.com/office/drawing/2014/main" id="{52B9CCC2-9170-40E7-B346-9C9C638A17BD}"/>
            </a:ext>
          </a:extLst>
        </xdr:cNvPr>
        <xdr:cNvPicPr>
          <a:picLocks noChangeAspect="1"/>
        </xdr:cNvPicPr>
      </xdr:nvPicPr>
      <xdr:blipFill>
        <a:blip xmlns:r="http://schemas.openxmlformats.org/officeDocument/2006/relationships" r:embed="rId9"/>
        <a:stretch>
          <a:fillRect/>
        </a:stretch>
      </xdr:blipFill>
      <xdr:spPr>
        <a:xfrm>
          <a:off x="678180" y="1958340"/>
          <a:ext cx="3672840" cy="844924"/>
        </a:xfrm>
        <a:prstGeom prst="rect">
          <a:avLst/>
        </a:prstGeom>
      </xdr:spPr>
    </xdr:pic>
    <xdr:clientData/>
  </xdr:twoCellAnchor>
  <xdr:twoCellAnchor editAs="oneCell">
    <xdr:from>
      <xdr:col>7</xdr:col>
      <xdr:colOff>441960</xdr:colOff>
      <xdr:row>23</xdr:row>
      <xdr:rowOff>45720</xdr:rowOff>
    </xdr:from>
    <xdr:to>
      <xdr:col>8</xdr:col>
      <xdr:colOff>2026920</xdr:colOff>
      <xdr:row>25</xdr:row>
      <xdr:rowOff>160020</xdr:rowOff>
    </xdr:to>
    <xdr:pic>
      <xdr:nvPicPr>
        <xdr:cNvPr id="29" name="Bilde 28">
          <a:extLst>
            <a:ext uri="{FF2B5EF4-FFF2-40B4-BE49-F238E27FC236}">
              <a16:creationId xmlns:a16="http://schemas.microsoft.com/office/drawing/2014/main" id="{C9A8EE70-5848-41CB-8841-93A19F3AC5FD}"/>
            </a:ext>
          </a:extLst>
        </xdr:cNvPr>
        <xdr:cNvPicPr>
          <a:picLocks noChangeAspect="1"/>
        </xdr:cNvPicPr>
      </xdr:nvPicPr>
      <xdr:blipFill>
        <a:blip xmlns:r="http://schemas.openxmlformats.org/officeDocument/2006/relationships" r:embed="rId9"/>
        <a:stretch>
          <a:fillRect/>
        </a:stretch>
      </xdr:blipFill>
      <xdr:spPr>
        <a:xfrm>
          <a:off x="6697980" y="5989320"/>
          <a:ext cx="2065020" cy="579120"/>
        </a:xfrm>
        <a:prstGeom prst="rect">
          <a:avLst/>
        </a:prstGeom>
      </xdr:spPr>
    </xdr:pic>
    <xdr:clientData/>
  </xdr:twoCellAnchor>
  <xdr:twoCellAnchor editAs="oneCell">
    <xdr:from>
      <xdr:col>8</xdr:col>
      <xdr:colOff>0</xdr:colOff>
      <xdr:row>6</xdr:row>
      <xdr:rowOff>0</xdr:rowOff>
    </xdr:from>
    <xdr:to>
      <xdr:col>8</xdr:col>
      <xdr:colOff>2065020</xdr:colOff>
      <xdr:row>8</xdr:row>
      <xdr:rowOff>15240</xdr:rowOff>
    </xdr:to>
    <xdr:pic>
      <xdr:nvPicPr>
        <xdr:cNvPr id="31" name="Bilde 30">
          <a:extLst>
            <a:ext uri="{FF2B5EF4-FFF2-40B4-BE49-F238E27FC236}">
              <a16:creationId xmlns:a16="http://schemas.microsoft.com/office/drawing/2014/main" id="{6374704C-BACD-4003-91FC-8E3643F516EE}"/>
            </a:ext>
          </a:extLst>
        </xdr:cNvPr>
        <xdr:cNvPicPr>
          <a:picLocks noChangeAspect="1"/>
        </xdr:cNvPicPr>
      </xdr:nvPicPr>
      <xdr:blipFill>
        <a:blip xmlns:r="http://schemas.openxmlformats.org/officeDocument/2006/relationships" r:embed="rId9"/>
        <a:stretch>
          <a:fillRect/>
        </a:stretch>
      </xdr:blipFill>
      <xdr:spPr>
        <a:xfrm>
          <a:off x="6736080" y="2004060"/>
          <a:ext cx="2065020" cy="579120"/>
        </a:xfrm>
        <a:prstGeom prst="rect">
          <a:avLst/>
        </a:prstGeom>
      </xdr:spPr>
    </xdr:pic>
    <xdr:clientData/>
  </xdr:twoCellAnchor>
  <xdr:twoCellAnchor editAs="oneCell">
    <xdr:from>
      <xdr:col>8</xdr:col>
      <xdr:colOff>7620</xdr:colOff>
      <xdr:row>8</xdr:row>
      <xdr:rowOff>7620</xdr:rowOff>
    </xdr:from>
    <xdr:to>
      <xdr:col>11</xdr:col>
      <xdr:colOff>373380</xdr:colOff>
      <xdr:row>10</xdr:row>
      <xdr:rowOff>160020</xdr:rowOff>
    </xdr:to>
    <xdr:pic>
      <xdr:nvPicPr>
        <xdr:cNvPr id="33" name="Bilde 32">
          <a:extLst>
            <a:ext uri="{FF2B5EF4-FFF2-40B4-BE49-F238E27FC236}">
              <a16:creationId xmlns:a16="http://schemas.microsoft.com/office/drawing/2014/main" id="{672F1485-E53F-48BF-AC8D-855BF6786C6C}"/>
            </a:ext>
          </a:extLst>
        </xdr:cNvPr>
        <xdr:cNvPicPr>
          <a:picLocks noChangeAspect="1"/>
        </xdr:cNvPicPr>
      </xdr:nvPicPr>
      <xdr:blipFill>
        <a:blip xmlns:r="http://schemas.openxmlformats.org/officeDocument/2006/relationships" r:embed="rId9"/>
        <a:stretch>
          <a:fillRect/>
        </a:stretch>
      </xdr:blipFill>
      <xdr:spPr>
        <a:xfrm>
          <a:off x="6743700" y="2575560"/>
          <a:ext cx="4000500" cy="548640"/>
        </a:xfrm>
        <a:prstGeom prst="rect">
          <a:avLst/>
        </a:prstGeom>
      </xdr:spPr>
    </xdr:pic>
    <xdr:clientData/>
  </xdr:twoCellAnchor>
  <xdr:twoCellAnchor editAs="oneCell">
    <xdr:from>
      <xdr:col>15</xdr:col>
      <xdr:colOff>0</xdr:colOff>
      <xdr:row>6</xdr:row>
      <xdr:rowOff>0</xdr:rowOff>
    </xdr:from>
    <xdr:to>
      <xdr:col>15</xdr:col>
      <xdr:colOff>2065020</xdr:colOff>
      <xdr:row>7</xdr:row>
      <xdr:rowOff>160020</xdr:rowOff>
    </xdr:to>
    <xdr:pic>
      <xdr:nvPicPr>
        <xdr:cNvPr id="35" name="Bilde 34">
          <a:extLst>
            <a:ext uri="{FF2B5EF4-FFF2-40B4-BE49-F238E27FC236}">
              <a16:creationId xmlns:a16="http://schemas.microsoft.com/office/drawing/2014/main" id="{D36A54FB-584C-44DA-9202-A6B442E97DDB}"/>
            </a:ext>
          </a:extLst>
        </xdr:cNvPr>
        <xdr:cNvPicPr>
          <a:picLocks noChangeAspect="1"/>
        </xdr:cNvPicPr>
      </xdr:nvPicPr>
      <xdr:blipFill>
        <a:blip xmlns:r="http://schemas.openxmlformats.org/officeDocument/2006/relationships" r:embed="rId9"/>
        <a:stretch>
          <a:fillRect/>
        </a:stretch>
      </xdr:blipFill>
      <xdr:spPr>
        <a:xfrm>
          <a:off x="11986260" y="2004060"/>
          <a:ext cx="2065020" cy="457200"/>
        </a:xfrm>
        <a:prstGeom prst="rect">
          <a:avLst/>
        </a:prstGeom>
      </xdr:spPr>
    </xdr:pic>
    <xdr:clientData/>
  </xdr:twoCellAnchor>
  <xdr:twoCellAnchor editAs="oneCell">
    <xdr:from>
      <xdr:col>15</xdr:col>
      <xdr:colOff>0</xdr:colOff>
      <xdr:row>17</xdr:row>
      <xdr:rowOff>0</xdr:rowOff>
    </xdr:from>
    <xdr:to>
      <xdr:col>16</xdr:col>
      <xdr:colOff>0</xdr:colOff>
      <xdr:row>18</xdr:row>
      <xdr:rowOff>137160</xdr:rowOff>
    </xdr:to>
    <xdr:pic>
      <xdr:nvPicPr>
        <xdr:cNvPr id="36" name="Bilde 35">
          <a:extLst>
            <a:ext uri="{FF2B5EF4-FFF2-40B4-BE49-F238E27FC236}">
              <a16:creationId xmlns:a16="http://schemas.microsoft.com/office/drawing/2014/main" id="{0F18F73C-4138-4DCA-A390-DB49F1605791}"/>
            </a:ext>
          </a:extLst>
        </xdr:cNvPr>
        <xdr:cNvPicPr>
          <a:picLocks noChangeAspect="1"/>
        </xdr:cNvPicPr>
      </xdr:nvPicPr>
      <xdr:blipFill>
        <a:blip xmlns:r="http://schemas.openxmlformats.org/officeDocument/2006/relationships" r:embed="rId9"/>
        <a:stretch>
          <a:fillRect/>
        </a:stretch>
      </xdr:blipFill>
      <xdr:spPr>
        <a:xfrm>
          <a:off x="11967308" y="4523154"/>
          <a:ext cx="2334846" cy="3813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33618</xdr:colOff>
      <xdr:row>1</xdr:row>
      <xdr:rowOff>19050</xdr:rowOff>
    </xdr:from>
    <xdr:to>
      <xdr:col>1</xdr:col>
      <xdr:colOff>1632519</xdr:colOff>
      <xdr:row>3</xdr:row>
      <xdr:rowOff>13361</xdr:rowOff>
    </xdr:to>
    <xdr:sp macro="" textlink="">
      <xdr:nvSpPr>
        <xdr:cNvPr id="2" name="Frihånd 9">
          <a:extLst>
            <a:ext uri="{FF2B5EF4-FFF2-40B4-BE49-F238E27FC236}">
              <a16:creationId xmlns:a16="http://schemas.microsoft.com/office/drawing/2014/main" id="{57EA584A-E9B8-4EFB-9B34-F15E295D7355}"/>
            </a:ext>
          </a:extLst>
        </xdr:cNvPr>
        <xdr:cNvSpPr>
          <a:spLocks/>
        </xdr:cNvSpPr>
      </xdr:nvSpPr>
      <xdr:spPr bwMode="auto">
        <a:xfrm>
          <a:off x="513678" y="186690"/>
          <a:ext cx="1598901"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19771</xdr:rowOff>
    </xdr:from>
    <xdr:to>
      <xdr:col>1</xdr:col>
      <xdr:colOff>2947147</xdr:colOff>
      <xdr:row>3</xdr:row>
      <xdr:rowOff>14082</xdr:rowOff>
    </xdr:to>
    <xdr:sp macro="" textlink="">
      <xdr:nvSpPr>
        <xdr:cNvPr id="3" name="Frihånd 9">
          <a:extLst>
            <a:ext uri="{FF2B5EF4-FFF2-40B4-BE49-F238E27FC236}">
              <a16:creationId xmlns:a16="http://schemas.microsoft.com/office/drawing/2014/main" id="{9841BE1A-D91D-4FFA-8E8C-484FC3F04DA0}"/>
            </a:ext>
          </a:extLst>
        </xdr:cNvPr>
        <xdr:cNvSpPr>
          <a:spLocks/>
        </xdr:cNvSpPr>
      </xdr:nvSpPr>
      <xdr:spPr bwMode="auto">
        <a:xfrm>
          <a:off x="1911052" y="187411"/>
          <a:ext cx="1516155"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1570506</xdr:colOff>
      <xdr:row>1</xdr:row>
      <xdr:rowOff>30256</xdr:rowOff>
    </xdr:from>
    <xdr:to>
      <xdr:col>1</xdr:col>
      <xdr:colOff>2809876</xdr:colOff>
      <xdr:row>2</xdr:row>
      <xdr:rowOff>123757</xdr:rowOff>
    </xdr:to>
    <xdr:sp macro="" textlink="">
      <xdr:nvSpPr>
        <xdr:cNvPr id="4" name="BMI-info" descr="Navigasjonsknapp" title="BMI-info">
          <a:hlinkClick xmlns:r="http://schemas.openxmlformats.org/officeDocument/2006/relationships" r:id="rId1" tooltip="Klikk for å vise ark med BMI-info"/>
          <a:extLst>
            <a:ext uri="{FF2B5EF4-FFF2-40B4-BE49-F238E27FC236}">
              <a16:creationId xmlns:a16="http://schemas.microsoft.com/office/drawing/2014/main" id="{74675728-161C-46CA-95AB-3810DC057D0E}"/>
            </a:ext>
          </a:extLst>
        </xdr:cNvPr>
        <xdr:cNvSpPr/>
      </xdr:nvSpPr>
      <xdr:spPr>
        <a:xfrm>
          <a:off x="2050566" y="197896"/>
          <a:ext cx="1239370" cy="2763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508635</xdr:colOff>
      <xdr:row>9</xdr:row>
      <xdr:rowOff>139303</xdr:rowOff>
    </xdr:from>
    <xdr:to>
      <xdr:col>3</xdr:col>
      <xdr:colOff>516884</xdr:colOff>
      <xdr:row>16</xdr:row>
      <xdr:rowOff>91326</xdr:rowOff>
    </xdr:to>
    <xdr:pic>
      <xdr:nvPicPr>
        <xdr:cNvPr id="5" name="Bilde 4">
          <a:extLst>
            <a:ext uri="{FF2B5EF4-FFF2-40B4-BE49-F238E27FC236}">
              <a16:creationId xmlns:a16="http://schemas.microsoft.com/office/drawing/2014/main" id="{2648473F-9E92-4DA2-BC43-12D918FD39D7}"/>
            </a:ext>
          </a:extLst>
        </xdr:cNvPr>
        <xdr:cNvPicPr>
          <a:picLocks noChangeAspect="1"/>
        </xdr:cNvPicPr>
      </xdr:nvPicPr>
      <xdr:blipFill>
        <a:blip xmlns:r="http://schemas.openxmlformats.org/officeDocument/2006/relationships" r:embed="rId2"/>
        <a:stretch>
          <a:fillRect/>
        </a:stretch>
      </xdr:blipFill>
      <xdr:spPr>
        <a:xfrm>
          <a:off x="988695" y="2905363"/>
          <a:ext cx="3940169" cy="152936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333374</xdr:colOff>
      <xdr:row>6</xdr:row>
      <xdr:rowOff>134961</xdr:rowOff>
    </xdr:from>
    <xdr:to>
      <xdr:col>2</xdr:col>
      <xdr:colOff>186891</xdr:colOff>
      <xdr:row>8</xdr:row>
      <xdr:rowOff>121920</xdr:rowOff>
    </xdr:to>
    <xdr:pic>
      <xdr:nvPicPr>
        <xdr:cNvPr id="6" name="Bilde 5">
          <a:extLst>
            <a:ext uri="{FF2B5EF4-FFF2-40B4-BE49-F238E27FC236}">
              <a16:creationId xmlns:a16="http://schemas.microsoft.com/office/drawing/2014/main" id="{96A1DCC1-4E43-4285-9179-4108CBBAE9CB}"/>
            </a:ext>
          </a:extLst>
        </xdr:cNvPr>
        <xdr:cNvPicPr>
          <a:picLocks noChangeAspect="1"/>
        </xdr:cNvPicPr>
      </xdr:nvPicPr>
      <xdr:blipFill rotWithShape="1">
        <a:blip xmlns:r="http://schemas.openxmlformats.org/officeDocument/2006/relationships" r:embed="rId3"/>
        <a:srcRect b="3473"/>
        <a:stretch/>
      </xdr:blipFill>
      <xdr:spPr>
        <a:xfrm>
          <a:off x="813434" y="2139021"/>
          <a:ext cx="3259657" cy="550839"/>
        </a:xfrm>
        <a:prstGeom prst="rect">
          <a:avLst/>
        </a:prstGeom>
      </xdr:spPr>
    </xdr:pic>
    <xdr:clientData/>
  </xdr:twoCellAnchor>
  <xdr:twoCellAnchor editAs="oneCell">
    <xdr:from>
      <xdr:col>8</xdr:col>
      <xdr:colOff>1534584</xdr:colOff>
      <xdr:row>9</xdr:row>
      <xdr:rowOff>98161</xdr:rowOff>
    </xdr:from>
    <xdr:to>
      <xdr:col>11</xdr:col>
      <xdr:colOff>226495</xdr:colOff>
      <xdr:row>10</xdr:row>
      <xdr:rowOff>139951</xdr:rowOff>
    </xdr:to>
    <xdr:pic>
      <xdr:nvPicPr>
        <xdr:cNvPr id="7" name="Bilde 6">
          <a:extLst>
            <a:ext uri="{FF2B5EF4-FFF2-40B4-BE49-F238E27FC236}">
              <a16:creationId xmlns:a16="http://schemas.microsoft.com/office/drawing/2014/main" id="{893162CA-D31C-4266-A132-0DD1958E1564}"/>
            </a:ext>
          </a:extLst>
        </xdr:cNvPr>
        <xdr:cNvPicPr>
          <a:picLocks noChangeAspect="1"/>
        </xdr:cNvPicPr>
      </xdr:nvPicPr>
      <xdr:blipFill>
        <a:blip xmlns:r="http://schemas.openxmlformats.org/officeDocument/2006/relationships" r:embed="rId4"/>
        <a:stretch>
          <a:fillRect/>
        </a:stretch>
      </xdr:blipFill>
      <xdr:spPr>
        <a:xfrm>
          <a:off x="8270664" y="2864221"/>
          <a:ext cx="2326651" cy="224670"/>
        </a:xfrm>
        <a:prstGeom prst="rect">
          <a:avLst/>
        </a:prstGeom>
      </xdr:spPr>
    </xdr:pic>
    <xdr:clientData/>
  </xdr:twoCellAnchor>
  <xdr:twoCellAnchor editAs="oneCell">
    <xdr:from>
      <xdr:col>8</xdr:col>
      <xdr:colOff>685473</xdr:colOff>
      <xdr:row>6</xdr:row>
      <xdr:rowOff>148167</xdr:rowOff>
    </xdr:from>
    <xdr:to>
      <xdr:col>8</xdr:col>
      <xdr:colOff>1376738</xdr:colOff>
      <xdr:row>8</xdr:row>
      <xdr:rowOff>38100</xdr:rowOff>
    </xdr:to>
    <xdr:pic>
      <xdr:nvPicPr>
        <xdr:cNvPr id="8" name="Bilde 7">
          <a:extLst>
            <a:ext uri="{FF2B5EF4-FFF2-40B4-BE49-F238E27FC236}">
              <a16:creationId xmlns:a16="http://schemas.microsoft.com/office/drawing/2014/main" id="{A3E69C89-917F-431F-AA47-EC84BE764F3A}"/>
            </a:ext>
          </a:extLst>
        </xdr:cNvPr>
        <xdr:cNvPicPr>
          <a:picLocks noChangeAspect="1"/>
        </xdr:cNvPicPr>
      </xdr:nvPicPr>
      <xdr:blipFill>
        <a:blip xmlns:r="http://schemas.openxmlformats.org/officeDocument/2006/relationships" r:embed="rId5"/>
        <a:stretch>
          <a:fillRect/>
        </a:stretch>
      </xdr:blipFill>
      <xdr:spPr>
        <a:xfrm>
          <a:off x="7421553" y="2152227"/>
          <a:ext cx="691265" cy="453813"/>
        </a:xfrm>
        <a:prstGeom prst="rect">
          <a:avLst/>
        </a:prstGeom>
      </xdr:spPr>
    </xdr:pic>
    <xdr:clientData/>
  </xdr:twoCellAnchor>
  <xdr:twoCellAnchor>
    <xdr:from>
      <xdr:col>8</xdr:col>
      <xdr:colOff>1110345</xdr:colOff>
      <xdr:row>8</xdr:row>
      <xdr:rowOff>152400</xdr:rowOff>
    </xdr:from>
    <xdr:to>
      <xdr:col>8</xdr:col>
      <xdr:colOff>1513115</xdr:colOff>
      <xdr:row>10</xdr:row>
      <xdr:rowOff>16329</xdr:rowOff>
    </xdr:to>
    <xdr:cxnSp macro="">
      <xdr:nvCxnSpPr>
        <xdr:cNvPr id="9" name="Vinkel 19">
          <a:extLst>
            <a:ext uri="{FF2B5EF4-FFF2-40B4-BE49-F238E27FC236}">
              <a16:creationId xmlns:a16="http://schemas.microsoft.com/office/drawing/2014/main" id="{A097F9B2-87BD-4787-AF17-907436B058BE}"/>
            </a:ext>
          </a:extLst>
        </xdr:cNvPr>
        <xdr:cNvCxnSpPr/>
      </xdr:nvCxnSpPr>
      <xdr:spPr>
        <a:xfrm rot="10800000">
          <a:off x="7846425" y="2720340"/>
          <a:ext cx="402770" cy="260169"/>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442174</xdr:colOff>
      <xdr:row>6</xdr:row>
      <xdr:rowOff>95047</xdr:rowOff>
    </xdr:from>
    <xdr:to>
      <xdr:col>15</xdr:col>
      <xdr:colOff>1624854</xdr:colOff>
      <xdr:row>7</xdr:row>
      <xdr:rowOff>45720</xdr:rowOff>
    </xdr:to>
    <xdr:pic>
      <xdr:nvPicPr>
        <xdr:cNvPr id="10" name="Bilde 9">
          <a:extLst>
            <a:ext uri="{FF2B5EF4-FFF2-40B4-BE49-F238E27FC236}">
              <a16:creationId xmlns:a16="http://schemas.microsoft.com/office/drawing/2014/main" id="{35E88D27-534E-4623-A7C1-995EF4025327}"/>
            </a:ext>
          </a:extLst>
        </xdr:cNvPr>
        <xdr:cNvPicPr>
          <a:picLocks noChangeAspect="1"/>
        </xdr:cNvPicPr>
      </xdr:nvPicPr>
      <xdr:blipFill>
        <a:blip xmlns:r="http://schemas.openxmlformats.org/officeDocument/2006/relationships" r:embed="rId6"/>
        <a:stretch>
          <a:fillRect/>
        </a:stretch>
      </xdr:blipFill>
      <xdr:spPr>
        <a:xfrm>
          <a:off x="12428434" y="2099107"/>
          <a:ext cx="1182680" cy="247853"/>
        </a:xfrm>
        <a:prstGeom prst="rect">
          <a:avLst/>
        </a:prstGeom>
      </xdr:spPr>
    </xdr:pic>
    <xdr:clientData/>
  </xdr:twoCellAnchor>
  <xdr:twoCellAnchor editAs="oneCell">
    <xdr:from>
      <xdr:col>15</xdr:col>
      <xdr:colOff>347383</xdr:colOff>
      <xdr:row>17</xdr:row>
      <xdr:rowOff>114913</xdr:rowOff>
    </xdr:from>
    <xdr:to>
      <xdr:col>15</xdr:col>
      <xdr:colOff>2095501</xdr:colOff>
      <xdr:row>19</xdr:row>
      <xdr:rowOff>6957</xdr:rowOff>
    </xdr:to>
    <xdr:pic>
      <xdr:nvPicPr>
        <xdr:cNvPr id="11" name="Bilde 10">
          <a:extLst>
            <a:ext uri="{FF2B5EF4-FFF2-40B4-BE49-F238E27FC236}">
              <a16:creationId xmlns:a16="http://schemas.microsoft.com/office/drawing/2014/main" id="{FB64B49C-93A6-4B2F-914C-3B287A2AE4DE}"/>
            </a:ext>
          </a:extLst>
        </xdr:cNvPr>
        <xdr:cNvPicPr>
          <a:picLocks noChangeAspect="1"/>
        </xdr:cNvPicPr>
      </xdr:nvPicPr>
      <xdr:blipFill>
        <a:blip xmlns:r="http://schemas.openxmlformats.org/officeDocument/2006/relationships" r:embed="rId7"/>
        <a:stretch>
          <a:fillRect/>
        </a:stretch>
      </xdr:blipFill>
      <xdr:spPr>
        <a:xfrm>
          <a:off x="12333643" y="4656433"/>
          <a:ext cx="1748118" cy="257804"/>
        </a:xfrm>
        <a:prstGeom prst="rect">
          <a:avLst/>
        </a:prstGeom>
      </xdr:spPr>
    </xdr:pic>
    <xdr:clientData/>
  </xdr:twoCellAnchor>
  <xdr:twoCellAnchor editAs="oneCell">
    <xdr:from>
      <xdr:col>15</xdr:col>
      <xdr:colOff>1189112</xdr:colOff>
      <xdr:row>26</xdr:row>
      <xdr:rowOff>179295</xdr:rowOff>
    </xdr:from>
    <xdr:to>
      <xdr:col>15</xdr:col>
      <xdr:colOff>1871383</xdr:colOff>
      <xdr:row>28</xdr:row>
      <xdr:rowOff>121920</xdr:rowOff>
    </xdr:to>
    <xdr:pic>
      <xdr:nvPicPr>
        <xdr:cNvPr id="12" name="Bilde 11">
          <a:extLst>
            <a:ext uri="{FF2B5EF4-FFF2-40B4-BE49-F238E27FC236}">
              <a16:creationId xmlns:a16="http://schemas.microsoft.com/office/drawing/2014/main" id="{4B4FBD5B-0A3D-47FD-AAAE-AB7130A147BD}"/>
            </a:ext>
          </a:extLst>
        </xdr:cNvPr>
        <xdr:cNvPicPr>
          <a:picLocks noChangeAspect="1"/>
        </xdr:cNvPicPr>
      </xdr:nvPicPr>
      <xdr:blipFill rotWithShape="1">
        <a:blip xmlns:r="http://schemas.openxmlformats.org/officeDocument/2006/relationships" r:embed="rId8"/>
        <a:srcRect t="1" b="2279"/>
        <a:stretch/>
      </xdr:blipFill>
      <xdr:spPr>
        <a:xfrm>
          <a:off x="13175372" y="6823935"/>
          <a:ext cx="682271" cy="483645"/>
        </a:xfrm>
        <a:prstGeom prst="rect">
          <a:avLst/>
        </a:prstGeom>
      </xdr:spPr>
    </xdr:pic>
    <xdr:clientData/>
  </xdr:twoCellAnchor>
  <xdr:oneCellAnchor>
    <xdr:from>
      <xdr:col>8</xdr:col>
      <xdr:colOff>1534584</xdr:colOff>
      <xdr:row>26</xdr:row>
      <xdr:rowOff>98161</xdr:rowOff>
    </xdr:from>
    <xdr:ext cx="2322617" cy="223774"/>
    <xdr:pic>
      <xdr:nvPicPr>
        <xdr:cNvPr id="13" name="Bilde 12">
          <a:extLst>
            <a:ext uri="{FF2B5EF4-FFF2-40B4-BE49-F238E27FC236}">
              <a16:creationId xmlns:a16="http://schemas.microsoft.com/office/drawing/2014/main" id="{061EF0FA-462D-4DA5-830F-C5D366E11216}"/>
            </a:ext>
          </a:extLst>
        </xdr:cNvPr>
        <xdr:cNvPicPr>
          <a:picLocks noChangeAspect="1"/>
        </xdr:cNvPicPr>
      </xdr:nvPicPr>
      <xdr:blipFill>
        <a:blip xmlns:r="http://schemas.openxmlformats.org/officeDocument/2006/relationships" r:embed="rId4"/>
        <a:stretch>
          <a:fillRect/>
        </a:stretch>
      </xdr:blipFill>
      <xdr:spPr>
        <a:xfrm>
          <a:off x="8270664" y="6742801"/>
          <a:ext cx="2322617" cy="223774"/>
        </a:xfrm>
        <a:prstGeom prst="rect">
          <a:avLst/>
        </a:prstGeom>
      </xdr:spPr>
    </xdr:pic>
    <xdr:clientData/>
  </xdr:oneCellAnchor>
  <xdr:oneCellAnchor>
    <xdr:from>
      <xdr:col>8</xdr:col>
      <xdr:colOff>685473</xdr:colOff>
      <xdr:row>23</xdr:row>
      <xdr:rowOff>148167</xdr:rowOff>
    </xdr:from>
    <xdr:ext cx="691265" cy="428313"/>
    <xdr:pic>
      <xdr:nvPicPr>
        <xdr:cNvPr id="14" name="Bilde 13">
          <a:extLst>
            <a:ext uri="{FF2B5EF4-FFF2-40B4-BE49-F238E27FC236}">
              <a16:creationId xmlns:a16="http://schemas.microsoft.com/office/drawing/2014/main" id="{BF0654ED-270B-49F0-9C23-35CB0D3A5202}"/>
            </a:ext>
          </a:extLst>
        </xdr:cNvPr>
        <xdr:cNvPicPr>
          <a:picLocks noChangeAspect="1"/>
        </xdr:cNvPicPr>
      </xdr:nvPicPr>
      <xdr:blipFill>
        <a:blip xmlns:r="http://schemas.openxmlformats.org/officeDocument/2006/relationships" r:embed="rId5"/>
        <a:stretch>
          <a:fillRect/>
        </a:stretch>
      </xdr:blipFill>
      <xdr:spPr>
        <a:xfrm>
          <a:off x="7421553" y="6091767"/>
          <a:ext cx="691265" cy="428313"/>
        </a:xfrm>
        <a:prstGeom prst="rect">
          <a:avLst/>
        </a:prstGeom>
      </xdr:spPr>
    </xdr:pic>
    <xdr:clientData/>
  </xdr:oneCellAnchor>
  <xdr:twoCellAnchor>
    <xdr:from>
      <xdr:col>8</xdr:col>
      <xdr:colOff>1110345</xdr:colOff>
      <xdr:row>25</xdr:row>
      <xdr:rowOff>152400</xdr:rowOff>
    </xdr:from>
    <xdr:to>
      <xdr:col>8</xdr:col>
      <xdr:colOff>1513115</xdr:colOff>
      <xdr:row>27</xdr:row>
      <xdr:rowOff>16329</xdr:rowOff>
    </xdr:to>
    <xdr:cxnSp macro="">
      <xdr:nvCxnSpPr>
        <xdr:cNvPr id="15" name="Vinkel 12">
          <a:extLst>
            <a:ext uri="{FF2B5EF4-FFF2-40B4-BE49-F238E27FC236}">
              <a16:creationId xmlns:a16="http://schemas.microsoft.com/office/drawing/2014/main" id="{1812CB4A-21EB-4510-A0FD-D8894CEFBA5A}"/>
            </a:ext>
          </a:extLst>
        </xdr:cNvPr>
        <xdr:cNvCxnSpPr/>
      </xdr:nvCxnSpPr>
      <xdr:spPr>
        <a:xfrm rot="10800000">
          <a:off x="7846425" y="6560820"/>
          <a:ext cx="402770" cy="336369"/>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313765</xdr:colOff>
      <xdr:row>23</xdr:row>
      <xdr:rowOff>116541</xdr:rowOff>
    </xdr:from>
    <xdr:to>
      <xdr:col>8</xdr:col>
      <xdr:colOff>1479177</xdr:colOff>
      <xdr:row>29</xdr:row>
      <xdr:rowOff>29233</xdr:rowOff>
    </xdr:to>
    <xdr:pic>
      <xdr:nvPicPr>
        <xdr:cNvPr id="20" name="Bilde 19">
          <a:extLst>
            <a:ext uri="{FF2B5EF4-FFF2-40B4-BE49-F238E27FC236}">
              <a16:creationId xmlns:a16="http://schemas.microsoft.com/office/drawing/2014/main" id="{B8F2D99C-37ED-4343-BDDC-B89C3AA050FD}"/>
            </a:ext>
          </a:extLst>
        </xdr:cNvPr>
        <xdr:cNvPicPr>
          <a:picLocks noChangeAspect="1"/>
        </xdr:cNvPicPr>
      </xdr:nvPicPr>
      <xdr:blipFill>
        <a:blip xmlns:r="http://schemas.openxmlformats.org/officeDocument/2006/relationships" r:embed="rId9"/>
        <a:stretch>
          <a:fillRect/>
        </a:stretch>
      </xdr:blipFill>
      <xdr:spPr>
        <a:xfrm>
          <a:off x="7049845" y="6060141"/>
          <a:ext cx="1165412" cy="1009972"/>
        </a:xfrm>
        <a:prstGeom prst="rect">
          <a:avLst/>
        </a:prstGeom>
      </xdr:spPr>
    </xdr:pic>
    <xdr:clientData/>
  </xdr:twoCellAnchor>
  <xdr:twoCellAnchor editAs="oneCell">
    <xdr:from>
      <xdr:col>8</xdr:col>
      <xdr:colOff>1370703</xdr:colOff>
      <xdr:row>24</xdr:row>
      <xdr:rowOff>127635</xdr:rowOff>
    </xdr:from>
    <xdr:to>
      <xdr:col>11</xdr:col>
      <xdr:colOff>348726</xdr:colOff>
      <xdr:row>27</xdr:row>
      <xdr:rowOff>146125</xdr:rowOff>
    </xdr:to>
    <xdr:pic>
      <xdr:nvPicPr>
        <xdr:cNvPr id="21" name="Bilde 20">
          <a:extLst>
            <a:ext uri="{FF2B5EF4-FFF2-40B4-BE49-F238E27FC236}">
              <a16:creationId xmlns:a16="http://schemas.microsoft.com/office/drawing/2014/main" id="{6814CA8B-50D4-4531-B2A1-975C0BCC888D}"/>
            </a:ext>
          </a:extLst>
        </xdr:cNvPr>
        <xdr:cNvPicPr>
          <a:picLocks noChangeAspect="1"/>
        </xdr:cNvPicPr>
      </xdr:nvPicPr>
      <xdr:blipFill>
        <a:blip xmlns:r="http://schemas.openxmlformats.org/officeDocument/2006/relationships" r:embed="rId9"/>
        <a:stretch>
          <a:fillRect/>
        </a:stretch>
      </xdr:blipFill>
      <xdr:spPr>
        <a:xfrm>
          <a:off x="8106783" y="6307455"/>
          <a:ext cx="2612763" cy="719530"/>
        </a:xfrm>
        <a:prstGeom prst="rect">
          <a:avLst/>
        </a:prstGeom>
      </xdr:spPr>
    </xdr:pic>
    <xdr:clientData/>
  </xdr:twoCellAnchor>
  <xdr:twoCellAnchor editAs="oneCell">
    <xdr:from>
      <xdr:col>14</xdr:col>
      <xdr:colOff>484093</xdr:colOff>
      <xdr:row>17</xdr:row>
      <xdr:rowOff>53788</xdr:rowOff>
    </xdr:from>
    <xdr:to>
      <xdr:col>16</xdr:col>
      <xdr:colOff>559</xdr:colOff>
      <xdr:row>19</xdr:row>
      <xdr:rowOff>12552</xdr:rowOff>
    </xdr:to>
    <xdr:pic>
      <xdr:nvPicPr>
        <xdr:cNvPr id="23" name="Bilde 22">
          <a:extLst>
            <a:ext uri="{FF2B5EF4-FFF2-40B4-BE49-F238E27FC236}">
              <a16:creationId xmlns:a16="http://schemas.microsoft.com/office/drawing/2014/main" id="{96D47DDB-6EDB-4BB3-B82D-CD39D1D7DAB3}"/>
            </a:ext>
          </a:extLst>
        </xdr:cNvPr>
        <xdr:cNvPicPr>
          <a:picLocks noChangeAspect="1"/>
        </xdr:cNvPicPr>
      </xdr:nvPicPr>
      <xdr:blipFill>
        <a:blip xmlns:r="http://schemas.openxmlformats.org/officeDocument/2006/relationships" r:embed="rId9"/>
        <a:stretch>
          <a:fillRect/>
        </a:stretch>
      </xdr:blipFill>
      <xdr:spPr>
        <a:xfrm>
          <a:off x="11982673" y="4595308"/>
          <a:ext cx="2280621" cy="324524"/>
        </a:xfrm>
        <a:prstGeom prst="rect">
          <a:avLst/>
        </a:prstGeom>
      </xdr:spPr>
    </xdr:pic>
    <xdr:clientData/>
  </xdr:twoCellAnchor>
  <xdr:twoCellAnchor>
    <xdr:from>
      <xdr:col>6</xdr:col>
      <xdr:colOff>25214</xdr:colOff>
      <xdr:row>1</xdr:row>
      <xdr:rowOff>11206</xdr:rowOff>
    </xdr:from>
    <xdr:to>
      <xdr:col>8</xdr:col>
      <xdr:colOff>1096495</xdr:colOff>
      <xdr:row>3</xdr:row>
      <xdr:rowOff>0</xdr:rowOff>
    </xdr:to>
    <xdr:sp macro="" textlink="">
      <xdr:nvSpPr>
        <xdr:cNvPr id="24" name="Frihånd 9">
          <a:extLst>
            <a:ext uri="{FF2B5EF4-FFF2-40B4-BE49-F238E27FC236}">
              <a16:creationId xmlns:a16="http://schemas.microsoft.com/office/drawing/2014/main" id="{636A01BF-E9E1-41EC-9E9B-737ADA6A13AF}"/>
            </a:ext>
          </a:extLst>
        </xdr:cNvPr>
        <xdr:cNvSpPr>
          <a:spLocks/>
        </xdr:cNvSpPr>
      </xdr:nvSpPr>
      <xdr:spPr bwMode="auto">
        <a:xfrm>
          <a:off x="6121214" y="178846"/>
          <a:ext cx="1711361"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2729192</xdr:colOff>
      <xdr:row>1</xdr:row>
      <xdr:rowOff>14248</xdr:rowOff>
    </xdr:from>
    <xdr:to>
      <xdr:col>3</xdr:col>
      <xdr:colOff>495300</xdr:colOff>
      <xdr:row>3</xdr:row>
      <xdr:rowOff>11919</xdr:rowOff>
    </xdr:to>
    <xdr:sp macro="" textlink="">
      <xdr:nvSpPr>
        <xdr:cNvPr id="25" name="Frihånd 9">
          <a:extLst>
            <a:ext uri="{FF2B5EF4-FFF2-40B4-BE49-F238E27FC236}">
              <a16:creationId xmlns:a16="http://schemas.microsoft.com/office/drawing/2014/main" id="{EC0F7791-A046-4DEB-9B8A-7CE4E703A5F6}"/>
            </a:ext>
          </a:extLst>
        </xdr:cNvPr>
        <xdr:cNvSpPr>
          <a:spLocks/>
        </xdr:cNvSpPr>
      </xdr:nvSpPr>
      <xdr:spPr bwMode="auto">
        <a:xfrm>
          <a:off x="3209252" y="181888"/>
          <a:ext cx="1698028" cy="33295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16</xdr:col>
      <xdr:colOff>112059</xdr:colOff>
      <xdr:row>1</xdr:row>
      <xdr:rowOff>11207</xdr:rowOff>
    </xdr:from>
    <xdr:to>
      <xdr:col>18</xdr:col>
      <xdr:colOff>240428</xdr:colOff>
      <xdr:row>3</xdr:row>
      <xdr:rowOff>1</xdr:rowOff>
    </xdr:to>
    <xdr:sp macro="" textlink="">
      <xdr:nvSpPr>
        <xdr:cNvPr id="26" name="Frihånd 9">
          <a:extLst>
            <a:ext uri="{FF2B5EF4-FFF2-40B4-BE49-F238E27FC236}">
              <a16:creationId xmlns:a16="http://schemas.microsoft.com/office/drawing/2014/main" id="{A8A90691-B8E4-400B-BC27-A3110B82B68D}"/>
            </a:ext>
          </a:extLst>
        </xdr:cNvPr>
        <xdr:cNvSpPr>
          <a:spLocks/>
        </xdr:cNvSpPr>
      </xdr:nvSpPr>
      <xdr:spPr bwMode="auto">
        <a:xfrm>
          <a:off x="14437659" y="178847"/>
          <a:ext cx="140852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371475</xdr:colOff>
      <xdr:row>1</xdr:row>
      <xdr:rowOff>16727</xdr:rowOff>
    </xdr:from>
    <xdr:to>
      <xdr:col>7</xdr:col>
      <xdr:colOff>57149</xdr:colOff>
      <xdr:row>3</xdr:row>
      <xdr:rowOff>11038</xdr:rowOff>
    </xdr:to>
    <xdr:sp macro="" textlink="">
      <xdr:nvSpPr>
        <xdr:cNvPr id="27" name="Frihånd 9">
          <a:extLst>
            <a:ext uri="{FF2B5EF4-FFF2-40B4-BE49-F238E27FC236}">
              <a16:creationId xmlns:a16="http://schemas.microsoft.com/office/drawing/2014/main" id="{1C12B6EA-4E8F-4272-BD54-3733DD4383B6}"/>
            </a:ext>
          </a:extLst>
        </xdr:cNvPr>
        <xdr:cNvSpPr>
          <a:spLocks/>
        </xdr:cNvSpPr>
      </xdr:nvSpPr>
      <xdr:spPr bwMode="auto">
        <a:xfrm>
          <a:off x="4783455" y="184367"/>
          <a:ext cx="1529714"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204152</xdr:colOff>
      <xdr:row>1</xdr:row>
      <xdr:rowOff>10480</xdr:rowOff>
    </xdr:from>
    <xdr:ext cx="1273344" cy="302939"/>
    <xdr:sp macro="" textlink="">
      <xdr:nvSpPr>
        <xdr:cNvPr id="28" name="Sporing av vekttap" descr="Navigasjonsknapp" title="Sporing av vekttap">
          <a:hlinkClick xmlns:r="http://schemas.openxmlformats.org/officeDocument/2006/relationships" r:id="rId10"/>
          <a:extLst>
            <a:ext uri="{FF2B5EF4-FFF2-40B4-BE49-F238E27FC236}">
              <a16:creationId xmlns:a16="http://schemas.microsoft.com/office/drawing/2014/main" id="{19B783E5-EED6-4D18-8D5D-ABF449B19163}"/>
            </a:ext>
          </a:extLst>
        </xdr:cNvPr>
        <xdr:cNvSpPr/>
      </xdr:nvSpPr>
      <xdr:spPr>
        <a:xfrm>
          <a:off x="684212" y="178120"/>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1</xdr:col>
      <xdr:colOff>2664760</xdr:colOff>
      <xdr:row>1</xdr:row>
      <xdr:rowOff>30256</xdr:rowOff>
    </xdr:from>
    <xdr:ext cx="1667995" cy="280191"/>
    <xdr:sp macro="" textlink="">
      <xdr:nvSpPr>
        <xdr:cNvPr id="29"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5443BEB2-1E70-49BC-8560-D398E80FE283}"/>
            </a:ext>
          </a:extLst>
        </xdr:cNvPr>
        <xdr:cNvSpPr/>
      </xdr:nvSpPr>
      <xdr:spPr>
        <a:xfrm>
          <a:off x="3144820" y="197896"/>
          <a:ext cx="166799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oneCellAnchor>
  <xdr:oneCellAnchor>
    <xdr:from>
      <xdr:col>7</xdr:col>
      <xdr:colOff>2241</xdr:colOff>
      <xdr:row>1</xdr:row>
      <xdr:rowOff>47625</xdr:rowOff>
    </xdr:from>
    <xdr:ext cx="1388409" cy="267821"/>
    <xdr:sp macro="" textlink="">
      <xdr:nvSpPr>
        <xdr:cNvPr id="30"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35F3BD71-850B-457F-840B-97F9013E931C}"/>
            </a:ext>
          </a:extLst>
        </xdr:cNvPr>
        <xdr:cNvSpPr/>
      </xdr:nvSpPr>
      <xdr:spPr>
        <a:xfrm>
          <a:off x="6258261" y="215265"/>
          <a:ext cx="1388409"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xdr:from>
      <xdr:col>16</xdr:col>
      <xdr:colOff>112059</xdr:colOff>
      <xdr:row>1</xdr:row>
      <xdr:rowOff>11207</xdr:rowOff>
    </xdr:from>
    <xdr:to>
      <xdr:col>18</xdr:col>
      <xdr:colOff>240428</xdr:colOff>
      <xdr:row>3</xdr:row>
      <xdr:rowOff>1</xdr:rowOff>
    </xdr:to>
    <xdr:sp macro="" textlink="">
      <xdr:nvSpPr>
        <xdr:cNvPr id="31" name="Frihånd 9">
          <a:extLst>
            <a:ext uri="{FF2B5EF4-FFF2-40B4-BE49-F238E27FC236}">
              <a16:creationId xmlns:a16="http://schemas.microsoft.com/office/drawing/2014/main" id="{1C19919E-C2AF-41BB-A5C2-CB121EFE8720}"/>
            </a:ext>
          </a:extLst>
        </xdr:cNvPr>
        <xdr:cNvSpPr>
          <a:spLocks/>
        </xdr:cNvSpPr>
      </xdr:nvSpPr>
      <xdr:spPr bwMode="auto">
        <a:xfrm>
          <a:off x="14437659" y="178847"/>
          <a:ext cx="140852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3</xdr:col>
      <xdr:colOff>330174</xdr:colOff>
      <xdr:row>1</xdr:row>
      <xdr:rowOff>1</xdr:rowOff>
    </xdr:from>
    <xdr:to>
      <xdr:col>7</xdr:col>
      <xdr:colOff>92894</xdr:colOff>
      <xdr:row>2</xdr:row>
      <xdr:rowOff>161925</xdr:rowOff>
    </xdr:to>
    <xdr:sp macro="" textlink="">
      <xdr:nvSpPr>
        <xdr:cNvPr id="32"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28F9EC9F-62A2-44D9-B9F9-72FE6FA6EAE2}"/>
            </a:ext>
          </a:extLst>
        </xdr:cNvPr>
        <xdr:cNvSpPr/>
      </xdr:nvSpPr>
      <xdr:spPr>
        <a:xfrm>
          <a:off x="4742154" y="167641"/>
          <a:ext cx="1606760" cy="3448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273326</xdr:colOff>
      <xdr:row>1</xdr:row>
      <xdr:rowOff>16565</xdr:rowOff>
    </xdr:from>
    <xdr:to>
      <xdr:col>2</xdr:col>
      <xdr:colOff>247103</xdr:colOff>
      <xdr:row>3</xdr:row>
      <xdr:rowOff>5906</xdr:rowOff>
    </xdr:to>
    <xdr:sp macro="" textlink="">
      <xdr:nvSpPr>
        <xdr:cNvPr id="7" name="Frihånd 9">
          <a:extLst>
            <a:ext uri="{FF2B5EF4-FFF2-40B4-BE49-F238E27FC236}">
              <a16:creationId xmlns:a16="http://schemas.microsoft.com/office/drawing/2014/main" id="{00000000-0008-0000-0400-000007000000}"/>
            </a:ext>
          </a:extLst>
        </xdr:cNvPr>
        <xdr:cNvSpPr>
          <a:spLocks/>
        </xdr:cNvSpPr>
      </xdr:nvSpPr>
      <xdr:spPr bwMode="auto">
        <a:xfrm>
          <a:off x="422413" y="190500"/>
          <a:ext cx="1646864" cy="33721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119857</xdr:colOff>
      <xdr:row>1</xdr:row>
      <xdr:rowOff>8566</xdr:rowOff>
    </xdr:from>
    <xdr:to>
      <xdr:col>3</xdr:col>
      <xdr:colOff>248479</xdr:colOff>
      <xdr:row>3</xdr:row>
      <xdr:rowOff>2877</xdr:rowOff>
    </xdr:to>
    <xdr:sp macro="" textlink="">
      <xdr:nvSpPr>
        <xdr:cNvPr id="31" name="Frihånd 9">
          <a:extLst>
            <a:ext uri="{FF2B5EF4-FFF2-40B4-BE49-F238E27FC236}">
              <a16:creationId xmlns:a16="http://schemas.microsoft.com/office/drawing/2014/main" id="{00000000-0008-0000-0400-00001F000000}"/>
            </a:ext>
          </a:extLst>
        </xdr:cNvPr>
        <xdr:cNvSpPr>
          <a:spLocks/>
        </xdr:cNvSpPr>
      </xdr:nvSpPr>
      <xdr:spPr bwMode="auto">
        <a:xfrm>
          <a:off x="1942031" y="182501"/>
          <a:ext cx="1702318" cy="34218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1283886</xdr:colOff>
      <xdr:row>28</xdr:row>
      <xdr:rowOff>40999</xdr:rowOff>
    </xdr:from>
    <xdr:to>
      <xdr:col>11</xdr:col>
      <xdr:colOff>2816087</xdr:colOff>
      <xdr:row>28</xdr:row>
      <xdr:rowOff>119271</xdr:rowOff>
    </xdr:to>
    <xdr:sp macro="" textlink="">
      <xdr:nvSpPr>
        <xdr:cNvPr id="4" name="Pil mot venstre og høyre 3">
          <a:extLst>
            <a:ext uri="{FF2B5EF4-FFF2-40B4-BE49-F238E27FC236}">
              <a16:creationId xmlns:a16="http://schemas.microsoft.com/office/drawing/2014/main" id="{00000000-0008-0000-0400-000004000000}"/>
            </a:ext>
          </a:extLst>
        </xdr:cNvPr>
        <xdr:cNvSpPr/>
      </xdr:nvSpPr>
      <xdr:spPr>
        <a:xfrm>
          <a:off x="5683608" y="5467764"/>
          <a:ext cx="8337192" cy="78272"/>
        </a:xfrm>
        <a:prstGeom prst="lef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b-NO" sz="1100"/>
        </a:p>
      </xdr:txBody>
    </xdr:sp>
    <xdr:clientData/>
  </xdr:twoCellAnchor>
  <xdr:oneCellAnchor>
    <xdr:from>
      <xdr:col>1</xdr:col>
      <xdr:colOff>0</xdr:colOff>
      <xdr:row>13</xdr:row>
      <xdr:rowOff>1</xdr:rowOff>
    </xdr:from>
    <xdr:ext cx="5733222" cy="5583069"/>
    <xdr:pic>
      <xdr:nvPicPr>
        <xdr:cNvPr id="5" name="Bild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39148" y="2398644"/>
          <a:ext cx="5247861" cy="5458830"/>
        </a:xfrm>
        <a:prstGeom prst="rect">
          <a:avLst/>
        </a:prstGeom>
      </xdr:spPr>
    </xdr:pic>
    <xdr:clientData/>
  </xdr:oneCellAnchor>
  <xdr:oneCellAnchor>
    <xdr:from>
      <xdr:col>4</xdr:col>
      <xdr:colOff>1225826</xdr:colOff>
      <xdr:row>25</xdr:row>
      <xdr:rowOff>139148</xdr:rowOff>
    </xdr:from>
    <xdr:ext cx="9761882" cy="1076199"/>
    <xdr:pic>
      <xdr:nvPicPr>
        <xdr:cNvPr id="2" name="Bild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6120848" y="5133561"/>
          <a:ext cx="9761882" cy="1076199"/>
        </a:xfrm>
        <a:prstGeom prst="rect">
          <a:avLst/>
        </a:prstGeom>
      </xdr:spPr>
    </xdr:pic>
    <xdr:clientData/>
  </xdr:oneCellAnchor>
  <xdr:twoCellAnchor>
    <xdr:from>
      <xdr:col>16</xdr:col>
      <xdr:colOff>112059</xdr:colOff>
      <xdr:row>1</xdr:row>
      <xdr:rowOff>11207</xdr:rowOff>
    </xdr:from>
    <xdr:to>
      <xdr:col>18</xdr:col>
      <xdr:colOff>240428</xdr:colOff>
      <xdr:row>3</xdr:row>
      <xdr:rowOff>1</xdr:rowOff>
    </xdr:to>
    <xdr:sp macro="" textlink="">
      <xdr:nvSpPr>
        <xdr:cNvPr id="28" name="Frihånd 9">
          <a:extLst>
            <a:ext uri="{FF2B5EF4-FFF2-40B4-BE49-F238E27FC236}">
              <a16:creationId xmlns:a16="http://schemas.microsoft.com/office/drawing/2014/main" id="{00000000-0008-0000-0400-00001C000000}"/>
            </a:ext>
          </a:extLst>
        </xdr:cNvPr>
        <xdr:cNvSpPr>
          <a:spLocks/>
        </xdr:cNvSpPr>
      </xdr:nvSpPr>
      <xdr:spPr bwMode="auto">
        <a:xfrm>
          <a:off x="10429875" y="182657"/>
          <a:ext cx="0"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2072</xdr:colOff>
      <xdr:row>1</xdr:row>
      <xdr:rowOff>13691</xdr:rowOff>
    </xdr:from>
    <xdr:to>
      <xdr:col>4</xdr:col>
      <xdr:colOff>240196</xdr:colOff>
      <xdr:row>3</xdr:row>
      <xdr:rowOff>2485</xdr:rowOff>
    </xdr:to>
    <xdr:sp macro="" textlink="">
      <xdr:nvSpPr>
        <xdr:cNvPr id="29" name="Frihånd 9">
          <a:extLst>
            <a:ext uri="{FF2B5EF4-FFF2-40B4-BE49-F238E27FC236}">
              <a16:creationId xmlns:a16="http://schemas.microsoft.com/office/drawing/2014/main" id="{00000000-0008-0000-0400-00001D000000}"/>
            </a:ext>
          </a:extLst>
        </xdr:cNvPr>
        <xdr:cNvSpPr>
          <a:spLocks/>
        </xdr:cNvSpPr>
      </xdr:nvSpPr>
      <xdr:spPr bwMode="auto">
        <a:xfrm>
          <a:off x="3397942" y="187626"/>
          <a:ext cx="1737276" cy="336663"/>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50791</xdr:colOff>
      <xdr:row>1</xdr:row>
      <xdr:rowOff>5527</xdr:rowOff>
    </xdr:from>
    <xdr:to>
      <xdr:col>5</xdr:col>
      <xdr:colOff>281609</xdr:colOff>
      <xdr:row>2</xdr:row>
      <xdr:rowOff>173771</xdr:rowOff>
    </xdr:to>
    <xdr:sp macro="" textlink="">
      <xdr:nvSpPr>
        <xdr:cNvPr id="30" name="Frihånd 9">
          <a:extLst>
            <a:ext uri="{FF2B5EF4-FFF2-40B4-BE49-F238E27FC236}">
              <a16:creationId xmlns:a16="http://schemas.microsoft.com/office/drawing/2014/main" id="{00000000-0008-0000-0400-00001E000000}"/>
            </a:ext>
          </a:extLst>
        </xdr:cNvPr>
        <xdr:cNvSpPr>
          <a:spLocks/>
        </xdr:cNvSpPr>
      </xdr:nvSpPr>
      <xdr:spPr bwMode="auto">
        <a:xfrm>
          <a:off x="4945813" y="179462"/>
          <a:ext cx="1812796" cy="34217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5</xdr:col>
      <xdr:colOff>20011</xdr:colOff>
      <xdr:row>1</xdr:row>
      <xdr:rowOff>2233</xdr:rowOff>
    </xdr:from>
    <xdr:to>
      <xdr:col>6</xdr:col>
      <xdr:colOff>289891</xdr:colOff>
      <xdr:row>2</xdr:row>
      <xdr:rowOff>170479</xdr:rowOff>
    </xdr:to>
    <xdr:sp macro="" textlink="">
      <xdr:nvSpPr>
        <xdr:cNvPr id="32" name="Frihånd 9">
          <a:extLst>
            <a:ext uri="{FF2B5EF4-FFF2-40B4-BE49-F238E27FC236}">
              <a16:creationId xmlns:a16="http://schemas.microsoft.com/office/drawing/2014/main" id="{00000000-0008-0000-0400-000020000000}"/>
            </a:ext>
          </a:extLst>
        </xdr:cNvPr>
        <xdr:cNvSpPr>
          <a:spLocks/>
        </xdr:cNvSpPr>
      </xdr:nvSpPr>
      <xdr:spPr bwMode="auto">
        <a:xfrm>
          <a:off x="6497011" y="176168"/>
          <a:ext cx="2025793" cy="34218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374481</xdr:colOff>
      <xdr:row>1</xdr:row>
      <xdr:rowOff>14233</xdr:rowOff>
    </xdr:from>
    <xdr:to>
      <xdr:col>2</xdr:col>
      <xdr:colOff>85165</xdr:colOff>
      <xdr:row>2</xdr:row>
      <xdr:rowOff>148207</xdr:rowOff>
    </xdr:to>
    <xdr:sp macro="" textlink="">
      <xdr:nvSpPr>
        <xdr:cNvPr id="33" name="Sporing av vekttap" descr="Navigasjonsknapp" title="Sporing av vekttap">
          <a:hlinkClick xmlns:r="http://schemas.openxmlformats.org/officeDocument/2006/relationships" r:id="rId3"/>
          <a:extLst>
            <a:ext uri="{FF2B5EF4-FFF2-40B4-BE49-F238E27FC236}">
              <a16:creationId xmlns:a16="http://schemas.microsoft.com/office/drawing/2014/main" id="{00000000-0008-0000-0400-000021000000}"/>
            </a:ext>
          </a:extLst>
        </xdr:cNvPr>
        <xdr:cNvSpPr/>
      </xdr:nvSpPr>
      <xdr:spPr>
        <a:xfrm>
          <a:off x="523568" y="188168"/>
          <a:ext cx="1383771" cy="3079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4</xdr:col>
      <xdr:colOff>169623</xdr:colOff>
      <xdr:row>1</xdr:row>
      <xdr:rowOff>45140</xdr:rowOff>
    </xdr:from>
    <xdr:to>
      <xdr:col>5</xdr:col>
      <xdr:colOff>88558</xdr:colOff>
      <xdr:row>2</xdr:row>
      <xdr:rowOff>151080</xdr:rowOff>
    </xdr:to>
    <xdr:sp macro="" textlink="">
      <xdr:nvSpPr>
        <xdr:cNvPr id="34"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00000000-0008-0000-0400-000022000000}"/>
            </a:ext>
          </a:extLst>
        </xdr:cNvPr>
        <xdr:cNvSpPr/>
      </xdr:nvSpPr>
      <xdr:spPr>
        <a:xfrm>
          <a:off x="5064645" y="219075"/>
          <a:ext cx="1500913" cy="279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3</xdr:col>
      <xdr:colOff>43193</xdr:colOff>
      <xdr:row>1</xdr:row>
      <xdr:rowOff>27333</xdr:rowOff>
    </xdr:from>
    <xdr:to>
      <xdr:col>4</xdr:col>
      <xdr:colOff>200026</xdr:colOff>
      <xdr:row>2</xdr:row>
      <xdr:rowOff>136074</xdr:rowOff>
    </xdr:to>
    <xdr:sp macro="" textlink="">
      <xdr:nvSpPr>
        <xdr:cNvPr id="35"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00000000-0008-0000-0400-000023000000}"/>
            </a:ext>
          </a:extLst>
        </xdr:cNvPr>
        <xdr:cNvSpPr/>
      </xdr:nvSpPr>
      <xdr:spPr>
        <a:xfrm>
          <a:off x="3443618" y="198783"/>
          <a:ext cx="1652258"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2</xdr:col>
      <xdr:colOff>100332</xdr:colOff>
      <xdr:row>1</xdr:row>
      <xdr:rowOff>8284</xdr:rowOff>
    </xdr:from>
    <xdr:to>
      <xdr:col>3</xdr:col>
      <xdr:colOff>231913</xdr:colOff>
      <xdr:row>2</xdr:row>
      <xdr:rowOff>141197</xdr:rowOff>
    </xdr:to>
    <xdr:sp macro="" textlink="">
      <xdr:nvSpPr>
        <xdr:cNvPr id="36" name="BMI-info" descr="Navigasjonsknapp" title="BMI-info">
          <a:hlinkClick xmlns:r="http://schemas.openxmlformats.org/officeDocument/2006/relationships" r:id="rId6" tooltip="Klikk for å vise ark med BMI-info"/>
          <a:extLst>
            <a:ext uri="{FF2B5EF4-FFF2-40B4-BE49-F238E27FC236}">
              <a16:creationId xmlns:a16="http://schemas.microsoft.com/office/drawing/2014/main" id="{00000000-0008-0000-0400-000024000000}"/>
            </a:ext>
          </a:extLst>
        </xdr:cNvPr>
        <xdr:cNvSpPr/>
      </xdr:nvSpPr>
      <xdr:spPr>
        <a:xfrm>
          <a:off x="1922506" y="182219"/>
          <a:ext cx="1705277" cy="3068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5</xdr:col>
      <xdr:colOff>330305</xdr:colOff>
      <xdr:row>1</xdr:row>
      <xdr:rowOff>41462</xdr:rowOff>
    </xdr:from>
    <xdr:to>
      <xdr:col>6</xdr:col>
      <xdr:colOff>26919</xdr:colOff>
      <xdr:row>2</xdr:row>
      <xdr:rowOff>137833</xdr:rowOff>
    </xdr:to>
    <xdr:sp macro="" textlink="">
      <xdr:nvSpPr>
        <xdr:cNvPr id="37" name="BMI-info" descr="Navigasjonsknapp" title="BMI-info">
          <a:hlinkClick xmlns:r="http://schemas.openxmlformats.org/officeDocument/2006/relationships" r:id="rId7" tooltip="Klikk for å vise ark med BMI-info"/>
          <a:extLst>
            <a:ext uri="{FF2B5EF4-FFF2-40B4-BE49-F238E27FC236}">
              <a16:creationId xmlns:a16="http://schemas.microsoft.com/office/drawing/2014/main" id="{00000000-0008-0000-0400-000025000000}"/>
            </a:ext>
          </a:extLst>
        </xdr:cNvPr>
        <xdr:cNvSpPr/>
      </xdr:nvSpPr>
      <xdr:spPr>
        <a:xfrm>
          <a:off x="6807305" y="215397"/>
          <a:ext cx="1452527" cy="2703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0.85953</cdr:x>
      <cdr:y>0.5691</cdr:y>
    </cdr:from>
    <cdr:to>
      <cdr:x>0.9511</cdr:x>
      <cdr:y>0.65108</cdr:y>
    </cdr:to>
    <cdr:sp macro="" textlink="">
      <cdr:nvSpPr>
        <cdr:cNvPr id="6146" name="Text Box 2">
          <a:extLst xmlns:a="http://schemas.openxmlformats.org/drawingml/2006/main">
            <a:ext uri="{FF2B5EF4-FFF2-40B4-BE49-F238E27FC236}">
              <a16:creationId xmlns:a16="http://schemas.microsoft.com/office/drawing/2014/main" id="{DAB158FD-841E-4F85-96E5-00333F745DF7}"/>
            </a:ext>
          </a:extLst>
        </cdr:cNvPr>
        <cdr:cNvSpPr txBox="1">
          <a:spLocks xmlns:a="http://schemas.openxmlformats.org/drawingml/2006/main" noChangeArrowheads="1"/>
        </cdr:cNvSpPr>
      </cdr:nvSpPr>
      <cdr:spPr bwMode="auto">
        <a:xfrm xmlns:a="http://schemas.openxmlformats.org/drawingml/2006/main">
          <a:off x="4887628" y="1789584"/>
          <a:ext cx="520706" cy="2484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nb-NO" sz="1200" b="0" i="0" u="none" strike="noStrike" baseline="0">
              <a:solidFill>
                <a:srgbClr val="000000"/>
              </a:solidFill>
              <a:latin typeface="Arial"/>
              <a:cs typeface="Arial"/>
            </a:rPr>
            <a:t>15 m</a:t>
          </a:r>
        </a:p>
      </cdr:txBody>
    </cdr:sp>
  </cdr:relSizeAnchor>
  <cdr:relSizeAnchor xmlns:cdr="http://schemas.openxmlformats.org/drawingml/2006/chartDrawing">
    <cdr:from>
      <cdr:x>0.72022</cdr:x>
      <cdr:y>0.35988</cdr:y>
    </cdr:from>
    <cdr:to>
      <cdr:x>0.9316</cdr:x>
      <cdr:y>0.44066</cdr:y>
    </cdr:to>
    <cdr:sp macro="" textlink="">
      <cdr:nvSpPr>
        <cdr:cNvPr id="6149" name="Text Box 5">
          <a:extLst xmlns:a="http://schemas.openxmlformats.org/drawingml/2006/main">
            <a:ext uri="{FF2B5EF4-FFF2-40B4-BE49-F238E27FC236}">
              <a16:creationId xmlns:a16="http://schemas.microsoft.com/office/drawing/2014/main" id="{F7C32DAC-AEBF-4F31-B354-C22EB75E5BAF}"/>
            </a:ext>
          </a:extLst>
        </cdr:cNvPr>
        <cdr:cNvSpPr txBox="1">
          <a:spLocks xmlns:a="http://schemas.openxmlformats.org/drawingml/2006/main" noChangeArrowheads="1"/>
        </cdr:cNvSpPr>
      </cdr:nvSpPr>
      <cdr:spPr bwMode="auto">
        <a:xfrm xmlns:a="http://schemas.openxmlformats.org/drawingml/2006/main">
          <a:off x="4466104" y="1291735"/>
          <a:ext cx="1310733" cy="2899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nb-NO" sz="1200" b="0" i="0" u="none" strike="noStrike" baseline="0">
              <a:solidFill>
                <a:srgbClr val="000000"/>
              </a:solidFill>
              <a:latin typeface="Arial"/>
              <a:cs typeface="Arial"/>
            </a:rPr>
            <a:t>Overhøyde 20 m</a:t>
          </a:r>
        </a:p>
      </cdr:txBody>
    </cdr:sp>
  </cdr:relSizeAnchor>
  <cdr:relSizeAnchor xmlns:cdr="http://schemas.openxmlformats.org/drawingml/2006/chartDrawing">
    <cdr:from>
      <cdr:x>0.26664</cdr:x>
      <cdr:y>0.54631</cdr:y>
    </cdr:from>
    <cdr:to>
      <cdr:x>0.35009</cdr:x>
      <cdr:y>0.62855</cdr:y>
    </cdr:to>
    <cdr:sp macro="" textlink="">
      <cdr:nvSpPr>
        <cdr:cNvPr id="6155" name="Text Box 11">
          <a:extLst xmlns:a="http://schemas.openxmlformats.org/drawingml/2006/main">
            <a:ext uri="{FF2B5EF4-FFF2-40B4-BE49-F238E27FC236}">
              <a16:creationId xmlns:a16="http://schemas.microsoft.com/office/drawing/2014/main" id="{D12621FF-3EFF-4B8F-907D-216D465DABFC}"/>
            </a:ext>
          </a:extLst>
        </cdr:cNvPr>
        <cdr:cNvSpPr txBox="1">
          <a:spLocks xmlns:a="http://schemas.openxmlformats.org/drawingml/2006/main" noChangeArrowheads="1"/>
        </cdr:cNvSpPr>
      </cdr:nvSpPr>
      <cdr:spPr bwMode="auto">
        <a:xfrm xmlns:a="http://schemas.openxmlformats.org/drawingml/2006/main">
          <a:off x="1654117" y="1724938"/>
          <a:ext cx="512697" cy="2546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nb-NO" sz="1200" b="0" i="0" u="none" strike="noStrike" baseline="0">
              <a:solidFill>
                <a:schemeClr val="tx1"/>
              </a:solidFill>
              <a:latin typeface="Arial"/>
              <a:cs typeface="Arial"/>
            </a:rPr>
            <a:t>Gran</a:t>
          </a:r>
        </a:p>
      </cdr:txBody>
    </cdr:sp>
  </cdr:relSizeAnchor>
  <cdr:relSizeAnchor xmlns:cdr="http://schemas.openxmlformats.org/drawingml/2006/chartDrawing">
    <cdr:from>
      <cdr:x>0.1256</cdr:x>
      <cdr:y>0.70447</cdr:y>
    </cdr:from>
    <cdr:to>
      <cdr:x>0.21152</cdr:x>
      <cdr:y>0.77312</cdr:y>
    </cdr:to>
    <cdr:sp macro="" textlink="">
      <cdr:nvSpPr>
        <cdr:cNvPr id="6156" name="Text Box 12">
          <a:extLst xmlns:a="http://schemas.openxmlformats.org/drawingml/2006/main">
            <a:ext uri="{FF2B5EF4-FFF2-40B4-BE49-F238E27FC236}">
              <a16:creationId xmlns:a16="http://schemas.microsoft.com/office/drawing/2014/main" id="{E64177A6-FD01-442C-838C-C679DB48800A}"/>
            </a:ext>
          </a:extLst>
        </cdr:cNvPr>
        <cdr:cNvSpPr txBox="1">
          <a:spLocks xmlns:a="http://schemas.openxmlformats.org/drawingml/2006/main" noChangeArrowheads="1"/>
        </cdr:cNvSpPr>
      </cdr:nvSpPr>
      <cdr:spPr bwMode="auto">
        <a:xfrm xmlns:a="http://schemas.openxmlformats.org/drawingml/2006/main">
          <a:off x="786475" y="2213163"/>
          <a:ext cx="523316" cy="2125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nb-NO" sz="1200" b="0" i="0" u="none" strike="noStrike" baseline="0">
              <a:solidFill>
                <a:schemeClr val="tx1"/>
              </a:solidFill>
              <a:latin typeface="Arial"/>
              <a:cs typeface="Arial"/>
            </a:rPr>
            <a:t>Furu</a:t>
          </a:r>
        </a:p>
      </cdr:txBody>
    </cdr:sp>
  </cdr:relSizeAnchor>
  <cdr:relSizeAnchor xmlns:cdr="http://schemas.openxmlformats.org/drawingml/2006/chartDrawing">
    <cdr:from>
      <cdr:x>0.6829</cdr:x>
      <cdr:y>0.68727</cdr:y>
    </cdr:from>
    <cdr:to>
      <cdr:x>0.77472</cdr:x>
      <cdr:y>0.7683</cdr:y>
    </cdr:to>
    <cdr:sp macro="" textlink="">
      <cdr:nvSpPr>
        <cdr:cNvPr id="7" name="Text Box 2">
          <a:extLst xmlns:a="http://schemas.openxmlformats.org/drawingml/2006/main">
            <a:ext uri="{FF2B5EF4-FFF2-40B4-BE49-F238E27FC236}">
              <a16:creationId xmlns:a16="http://schemas.microsoft.com/office/drawing/2014/main" id="{1618051F-A4DD-41D2-A196-3220E125AD6E}"/>
            </a:ext>
          </a:extLst>
        </cdr:cNvPr>
        <cdr:cNvSpPr txBox="1">
          <a:spLocks xmlns:a="http://schemas.openxmlformats.org/drawingml/2006/main" noChangeArrowheads="1"/>
        </cdr:cNvSpPr>
      </cdr:nvSpPr>
      <cdr:spPr bwMode="auto">
        <a:xfrm xmlns:a="http://schemas.openxmlformats.org/drawingml/2006/main">
          <a:off x="3887503" y="2151534"/>
          <a:ext cx="520706" cy="2484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nb-NO" sz="1200" b="0" i="0" u="none" strike="noStrike" baseline="0">
              <a:solidFill>
                <a:srgbClr val="000000"/>
              </a:solidFill>
              <a:latin typeface="Arial"/>
              <a:cs typeface="Arial"/>
            </a:rPr>
            <a:t>15 m</a:t>
          </a:r>
        </a:p>
      </cdr:txBody>
    </cdr:sp>
  </cdr:relSizeAnchor>
  <cdr:relSizeAnchor xmlns:cdr="http://schemas.openxmlformats.org/drawingml/2006/chartDrawing">
    <cdr:from>
      <cdr:x>0.68509</cdr:x>
      <cdr:y>0.60092</cdr:y>
    </cdr:from>
    <cdr:to>
      <cdr:x>0.77616</cdr:x>
      <cdr:y>0.68241</cdr:y>
    </cdr:to>
    <cdr:sp macro="" textlink="">
      <cdr:nvSpPr>
        <cdr:cNvPr id="8" name="Text Box 2">
          <a:extLst xmlns:a="http://schemas.openxmlformats.org/drawingml/2006/main">
            <a:ext uri="{FF2B5EF4-FFF2-40B4-BE49-F238E27FC236}">
              <a16:creationId xmlns:a16="http://schemas.microsoft.com/office/drawing/2014/main" id="{1060BA72-178B-4491-B216-720C0B354EF8}"/>
            </a:ext>
          </a:extLst>
        </cdr:cNvPr>
        <cdr:cNvSpPr txBox="1">
          <a:spLocks xmlns:a="http://schemas.openxmlformats.org/drawingml/2006/main" noChangeArrowheads="1"/>
        </cdr:cNvSpPr>
      </cdr:nvSpPr>
      <cdr:spPr bwMode="auto">
        <a:xfrm xmlns:a="http://schemas.openxmlformats.org/drawingml/2006/main">
          <a:off x="3895725" y="1885950"/>
          <a:ext cx="520706" cy="2484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nb-NO" sz="1200" b="0" i="0" u="none" strike="noStrike" baseline="0">
              <a:solidFill>
                <a:srgbClr val="000000"/>
              </a:solidFill>
              <a:latin typeface="Arial"/>
              <a:cs typeface="Arial"/>
            </a:rPr>
            <a:t>20 m</a:t>
          </a:r>
        </a:p>
      </cdr:txBody>
    </cdr:sp>
  </cdr:relSizeAnchor>
</c:userShapes>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646095" cy="902401"/>
    <xdr:pic>
      <xdr:nvPicPr>
        <xdr:cNvPr id="9" name="Bilde 8">
          <a:extLst>
            <a:ext uri="{FF2B5EF4-FFF2-40B4-BE49-F238E27FC236}">
              <a16:creationId xmlns:a16="http://schemas.microsoft.com/office/drawing/2014/main" id="{35BDA5E2-C7AD-4EE7-97B8-BD5E8A930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120"/>
          <a:ext cx="2646095" cy="90240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absolute">
    <xdr:from>
      <xdr:col>2</xdr:col>
      <xdr:colOff>3524266</xdr:colOff>
      <xdr:row>1</xdr:row>
      <xdr:rowOff>80965</xdr:rowOff>
    </xdr:from>
    <xdr:to>
      <xdr:col>2</xdr:col>
      <xdr:colOff>5847192</xdr:colOff>
      <xdr:row>3</xdr:row>
      <xdr:rowOff>6900</xdr:rowOff>
    </xdr:to>
    <xdr:sp macro="ArkFaneKlikk" textlink="">
      <xdr:nvSpPr>
        <xdr:cNvPr id="5" name="Flik_02">
          <a:hlinkClick xmlns:r="http://schemas.openxmlformats.org/officeDocument/2006/relationships" r:id="rId1"/>
          <a:extLst>
            <a:ext uri="{FF2B5EF4-FFF2-40B4-BE49-F238E27FC236}">
              <a16:creationId xmlns:a16="http://schemas.microsoft.com/office/drawing/2014/main" id="{BEAF163A-92A2-4710-BE25-8BDF17250349}"/>
            </a:ext>
          </a:extLst>
        </xdr:cNvPr>
        <xdr:cNvSpPr>
          <a:spLocks/>
        </xdr:cNvSpPr>
      </xdr:nvSpPr>
      <xdr:spPr bwMode="auto">
        <a:xfrm>
          <a:off x="4238641" y="271465"/>
          <a:ext cx="2322926" cy="3164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Maskinproduktivitet</a:t>
          </a:r>
        </a:p>
      </xdr:txBody>
    </xdr:sp>
    <xdr:clientData/>
  </xdr:twoCellAnchor>
  <xdr:twoCellAnchor editAs="absolute">
    <xdr:from>
      <xdr:col>1</xdr:col>
      <xdr:colOff>20717</xdr:colOff>
      <xdr:row>1</xdr:row>
      <xdr:rowOff>80966</xdr:rowOff>
    </xdr:from>
    <xdr:to>
      <xdr:col>2</xdr:col>
      <xdr:colOff>1773837</xdr:colOff>
      <xdr:row>3</xdr:row>
      <xdr:rowOff>6901</xdr:rowOff>
    </xdr:to>
    <xdr:sp macro="" textlink="">
      <xdr:nvSpPr>
        <xdr:cNvPr id="6" name="Flik_02">
          <a:hlinkClick xmlns:r="http://schemas.openxmlformats.org/officeDocument/2006/relationships" r:id="rId2"/>
          <a:extLst>
            <a:ext uri="{FF2B5EF4-FFF2-40B4-BE49-F238E27FC236}">
              <a16:creationId xmlns:a16="http://schemas.microsoft.com/office/drawing/2014/main" id="{E69CAF0C-4D43-4CD8-B9B8-A185156D719C}"/>
            </a:ext>
          </a:extLst>
        </xdr:cNvPr>
        <xdr:cNvSpPr>
          <a:spLocks/>
        </xdr:cNvSpPr>
      </xdr:nvSpPr>
      <xdr:spPr bwMode="auto">
        <a:xfrm>
          <a:off x="315992" y="271466"/>
          <a:ext cx="2172220" cy="3164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Forside</a:t>
          </a:r>
        </a:p>
      </xdr:txBody>
    </xdr:sp>
    <xdr:clientData/>
  </xdr:twoCellAnchor>
  <xdr:twoCellAnchor editAs="absolute">
    <xdr:from>
      <xdr:col>2</xdr:col>
      <xdr:colOff>1523994</xdr:colOff>
      <xdr:row>1</xdr:row>
      <xdr:rowOff>80966</xdr:rowOff>
    </xdr:from>
    <xdr:to>
      <xdr:col>2</xdr:col>
      <xdr:colOff>3762375</xdr:colOff>
      <xdr:row>3</xdr:row>
      <xdr:rowOff>6901</xdr:rowOff>
    </xdr:to>
    <xdr:sp macro="" textlink="">
      <xdr:nvSpPr>
        <xdr:cNvPr id="7" name="Flik_01">
          <a:extLst>
            <a:ext uri="{FF2B5EF4-FFF2-40B4-BE49-F238E27FC236}">
              <a16:creationId xmlns:a16="http://schemas.microsoft.com/office/drawing/2014/main" id="{C119A742-AC16-46C9-91D1-901A634B4C69}"/>
            </a:ext>
          </a:extLst>
        </xdr:cNvPr>
        <xdr:cNvSpPr>
          <a:spLocks/>
        </xdr:cNvSpPr>
      </xdr:nvSpPr>
      <xdr:spPr bwMode="auto">
        <a:xfrm>
          <a:off x="2238369" y="271466"/>
          <a:ext cx="2238381" cy="3164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FFFFFF">
            <a:lumMod val="10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0" baseline="0">
              <a:solidFill>
                <a:srgbClr val="376092">
                  <a:lumMod val="75000"/>
                </a:srgbClr>
              </a:solidFill>
              <a:latin typeface="Calibri" panose="020F0502020204030204" pitchFamily="34" charset="0"/>
            </a:rPr>
            <a:t>Kostnad ryddetrær</a:t>
          </a:r>
        </a:p>
      </xdr:txBody>
    </xdr:sp>
    <xdr:clientData/>
  </xdr:twoCellAnchor>
  <xdr:twoCellAnchor editAs="oneCell">
    <xdr:from>
      <xdr:col>1</xdr:col>
      <xdr:colOff>228600</xdr:colOff>
      <xdr:row>33</xdr:row>
      <xdr:rowOff>133350</xdr:rowOff>
    </xdr:from>
    <xdr:to>
      <xdr:col>2</xdr:col>
      <xdr:colOff>2160015</xdr:colOff>
      <xdr:row>33</xdr:row>
      <xdr:rowOff>934280</xdr:rowOff>
    </xdr:to>
    <xdr:pic>
      <xdr:nvPicPr>
        <xdr:cNvPr id="8" name="Grafikk 7">
          <a:extLst>
            <a:ext uri="{FF2B5EF4-FFF2-40B4-BE49-F238E27FC236}">
              <a16:creationId xmlns:a16="http://schemas.microsoft.com/office/drawing/2014/main" id="{87152DA5-65D0-4177-AB29-87B383814B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23875" y="9144000"/>
          <a:ext cx="2350515" cy="800930"/>
        </a:xfrm>
        <a:prstGeom prst="rect">
          <a:avLst/>
        </a:prstGeom>
        <a:effectLst>
          <a:outerShdw blurRad="50800" dist="38100" dir="2700000" algn="tl" rotWithShape="0">
            <a:prstClr val="black">
              <a:alpha val="40000"/>
            </a:prstClr>
          </a:outerShdw>
        </a:effectLst>
      </xdr:spPr>
    </xdr:pic>
    <xdr:clientData/>
  </xdr:twoCellAnchor>
  <xdr:twoCellAnchor editAs="oneCell">
    <xdr:from>
      <xdr:col>10</xdr:col>
      <xdr:colOff>0</xdr:colOff>
      <xdr:row>3</xdr:row>
      <xdr:rowOff>53341</xdr:rowOff>
    </xdr:from>
    <xdr:to>
      <xdr:col>20</xdr:col>
      <xdr:colOff>147320</xdr:colOff>
      <xdr:row>20</xdr:row>
      <xdr:rowOff>396241</xdr:rowOff>
    </xdr:to>
    <xdr:pic>
      <xdr:nvPicPr>
        <xdr:cNvPr id="10" name="Bilde 9">
          <a:extLst>
            <a:ext uri="{FF2B5EF4-FFF2-40B4-BE49-F238E27FC236}">
              <a16:creationId xmlns:a16="http://schemas.microsoft.com/office/drawing/2014/main" id="{7A07AA6F-7C21-44B2-B8CB-D461E331EC7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44400" y="609601"/>
          <a:ext cx="6243320" cy="492252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twoCellAnchor>
    <xdr:from>
      <xdr:col>16</xdr:col>
      <xdr:colOff>254001</xdr:colOff>
      <xdr:row>28</xdr:row>
      <xdr:rowOff>110066</xdr:rowOff>
    </xdr:from>
    <xdr:to>
      <xdr:col>19</xdr:col>
      <xdr:colOff>211668</xdr:colOff>
      <xdr:row>29</xdr:row>
      <xdr:rowOff>152400</xdr:rowOff>
    </xdr:to>
    <xdr:sp macro="" textlink="">
      <xdr:nvSpPr>
        <xdr:cNvPr id="11" name="TekstSylinder 10">
          <a:hlinkClick xmlns:r="http://schemas.openxmlformats.org/officeDocument/2006/relationships" r:id="rId6"/>
          <a:extLst>
            <a:ext uri="{FF2B5EF4-FFF2-40B4-BE49-F238E27FC236}">
              <a16:creationId xmlns:a16="http://schemas.microsoft.com/office/drawing/2014/main" id="{9B5A548D-C8E7-40C6-A527-4A5779BDE6AC}"/>
            </a:ext>
          </a:extLst>
        </xdr:cNvPr>
        <xdr:cNvSpPr txBox="1"/>
      </xdr:nvSpPr>
      <xdr:spPr>
        <a:xfrm>
          <a:off x="16349134" y="8094133"/>
          <a:ext cx="1896534"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33131</xdr:colOff>
      <xdr:row>5</xdr:row>
      <xdr:rowOff>155714</xdr:rowOff>
    </xdr:from>
    <xdr:to>
      <xdr:col>26</xdr:col>
      <xdr:colOff>78441</xdr:colOff>
      <xdr:row>13</xdr:row>
      <xdr:rowOff>434789</xdr:rowOff>
    </xdr:to>
    <xdr:graphicFrame macro="">
      <xdr:nvGraphicFramePr>
        <xdr:cNvPr id="25" name="Diagram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80683</xdr:colOff>
      <xdr:row>5</xdr:row>
      <xdr:rowOff>113741</xdr:rowOff>
    </xdr:from>
    <xdr:to>
      <xdr:col>12</xdr:col>
      <xdr:colOff>415419</xdr:colOff>
      <xdr:row>13</xdr:row>
      <xdr:rowOff>695851</xdr:rowOff>
    </xdr:to>
    <xdr:graphicFrame macro="">
      <xdr:nvGraphicFramePr>
        <xdr:cNvPr id="40" name="Diagram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15</xdr:row>
      <xdr:rowOff>271182</xdr:rowOff>
    </xdr:from>
    <xdr:to>
      <xdr:col>5</xdr:col>
      <xdr:colOff>828675</xdr:colOff>
      <xdr:row>15</xdr:row>
      <xdr:rowOff>404532</xdr:rowOff>
    </xdr:to>
    <xdr:sp macro="" textlink="">
      <xdr:nvSpPr>
        <xdr:cNvPr id="3" name="Pil høyre 2">
          <a:extLst>
            <a:ext uri="{FF2B5EF4-FFF2-40B4-BE49-F238E27FC236}">
              <a16:creationId xmlns:a16="http://schemas.microsoft.com/office/drawing/2014/main" id="{00000000-0008-0000-0000-000003000000}"/>
            </a:ext>
          </a:extLst>
        </xdr:cNvPr>
        <xdr:cNvSpPr/>
      </xdr:nvSpPr>
      <xdr:spPr>
        <a:xfrm>
          <a:off x="4203326" y="6053417"/>
          <a:ext cx="77152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57150</xdr:colOff>
      <xdr:row>15</xdr:row>
      <xdr:rowOff>271182</xdr:rowOff>
    </xdr:from>
    <xdr:to>
      <xdr:col>18</xdr:col>
      <xdr:colOff>828675</xdr:colOff>
      <xdr:row>15</xdr:row>
      <xdr:rowOff>404532</xdr:rowOff>
    </xdr:to>
    <xdr:sp macro="" textlink="">
      <xdr:nvSpPr>
        <xdr:cNvPr id="24" name="Pil høyre 23">
          <a:extLst>
            <a:ext uri="{FF2B5EF4-FFF2-40B4-BE49-F238E27FC236}">
              <a16:creationId xmlns:a16="http://schemas.microsoft.com/office/drawing/2014/main" id="{00000000-0008-0000-0000-000018000000}"/>
            </a:ext>
          </a:extLst>
        </xdr:cNvPr>
        <xdr:cNvSpPr/>
      </xdr:nvSpPr>
      <xdr:spPr>
        <a:xfrm>
          <a:off x="13930032" y="6053417"/>
          <a:ext cx="77152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7</xdr:col>
      <xdr:colOff>447338</xdr:colOff>
      <xdr:row>10</xdr:row>
      <xdr:rowOff>618564</xdr:rowOff>
    </xdr:from>
    <xdr:to>
      <xdr:col>11</xdr:col>
      <xdr:colOff>163829</xdr:colOff>
      <xdr:row>12</xdr:row>
      <xdr:rowOff>502920</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5910878" y="3925644"/>
          <a:ext cx="2124411" cy="76065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           </a:t>
          </a:r>
          <a:r>
            <a:rPr lang="nb-NO" sz="2000" b="1" i="1" baseline="0">
              <a:solidFill>
                <a:srgbClr val="FF0000"/>
              </a:solidFill>
            </a:rPr>
            <a:t>- før ryddetre</a:t>
          </a:r>
          <a:endParaRPr lang="nb-NO" sz="2000" b="1">
            <a:solidFill>
              <a:srgbClr val="002060"/>
            </a:solidFill>
          </a:endParaRPr>
        </a:p>
      </xdr:txBody>
    </xdr:sp>
    <xdr:clientData/>
  </xdr:twoCellAnchor>
  <xdr:twoCellAnchor>
    <xdr:from>
      <xdr:col>20</xdr:col>
      <xdr:colOff>483198</xdr:colOff>
      <xdr:row>10</xdr:row>
      <xdr:rowOff>762672</xdr:rowOff>
    </xdr:from>
    <xdr:to>
      <xdr:col>24</xdr:col>
      <xdr:colOff>87630</xdr:colOff>
      <xdr:row>13</xdr:row>
      <xdr:rowOff>163830</xdr:rowOff>
    </xdr:to>
    <xdr:sp macro="" textlink="">
      <xdr:nvSpPr>
        <xdr:cNvPr id="37" name="TekstSylinder 36">
          <a:extLst>
            <a:ext uri="{FF2B5EF4-FFF2-40B4-BE49-F238E27FC236}">
              <a16:creationId xmlns:a16="http://schemas.microsoft.com/office/drawing/2014/main" id="{00000000-0008-0000-0000-000025000000}"/>
            </a:ext>
          </a:extLst>
        </xdr:cNvPr>
        <xdr:cNvSpPr txBox="1"/>
      </xdr:nvSpPr>
      <xdr:spPr>
        <a:xfrm>
          <a:off x="14837373" y="4029747"/>
          <a:ext cx="2214282" cy="88705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                </a:t>
          </a:r>
          <a:r>
            <a:rPr lang="nb-NO" sz="2000" b="1" i="1" baseline="0">
              <a:solidFill>
                <a:srgbClr val="FF0000"/>
              </a:solidFill>
            </a:rPr>
            <a:t>- før ryddetre</a:t>
          </a:r>
          <a:endParaRPr lang="nb-NO" sz="2000" b="1" i="1">
            <a:solidFill>
              <a:srgbClr val="FF0000"/>
            </a:solidFill>
          </a:endParaRPr>
        </a:p>
      </xdr:txBody>
    </xdr:sp>
    <xdr:clientData/>
  </xdr:twoCellAnchor>
  <xdr:twoCellAnchor editAs="absolute">
    <xdr:from>
      <xdr:col>3</xdr:col>
      <xdr:colOff>145612</xdr:colOff>
      <xdr:row>0</xdr:row>
      <xdr:rowOff>142875</xdr:rowOff>
    </xdr:from>
    <xdr:to>
      <xdr:col>5</xdr:col>
      <xdr:colOff>373038</xdr:colOff>
      <xdr:row>3</xdr:row>
      <xdr:rowOff>3836</xdr:rowOff>
    </xdr:to>
    <xdr:sp macro="" textlink="">
      <xdr:nvSpPr>
        <xdr:cNvPr id="57" name="Flik_02">
          <a:hlinkClick xmlns:r="http://schemas.openxmlformats.org/officeDocument/2006/relationships" r:id="rId3"/>
          <a:extLst>
            <a:ext uri="{FF2B5EF4-FFF2-40B4-BE49-F238E27FC236}">
              <a16:creationId xmlns:a16="http://schemas.microsoft.com/office/drawing/2014/main" id="{655B3676-8ACC-4B65-B3A9-9C1651C60CA2}"/>
            </a:ext>
          </a:extLst>
        </xdr:cNvPr>
        <xdr:cNvSpPr>
          <a:spLocks/>
        </xdr:cNvSpPr>
      </xdr:nvSpPr>
      <xdr:spPr bwMode="auto">
        <a:xfrm>
          <a:off x="2041087" y="142875"/>
          <a:ext cx="2322926" cy="31816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Kostnad</a:t>
          </a:r>
          <a:r>
            <a:rPr lang="nb-NO" sz="1400" b="1" i="1" baseline="0">
              <a:solidFill>
                <a:srgbClr val="953735">
                  <a:lumMod val="75000"/>
                </a:srgbClr>
              </a:solidFill>
              <a:latin typeface="Calibri" panose="020F0502020204030204" pitchFamily="34" charset="0"/>
            </a:rPr>
            <a:t> ryddetrær</a:t>
          </a:r>
          <a:endParaRPr lang="nb-NO" sz="1400" b="1" i="1">
            <a:solidFill>
              <a:srgbClr val="953735">
                <a:lumMod val="75000"/>
              </a:srgbClr>
            </a:solidFill>
            <a:latin typeface="Calibri" panose="020F0502020204030204" pitchFamily="34" charset="0"/>
          </a:endParaRPr>
        </a:p>
      </xdr:txBody>
    </xdr:sp>
    <xdr:clientData/>
  </xdr:twoCellAnchor>
  <xdr:twoCellAnchor editAs="absolute">
    <xdr:from>
      <xdr:col>1</xdr:col>
      <xdr:colOff>16285</xdr:colOff>
      <xdr:row>0</xdr:row>
      <xdr:rowOff>142876</xdr:rowOff>
    </xdr:from>
    <xdr:to>
      <xdr:col>3</xdr:col>
      <xdr:colOff>323851</xdr:colOff>
      <xdr:row>3</xdr:row>
      <xdr:rowOff>3837</xdr:rowOff>
    </xdr:to>
    <xdr:sp macro="" textlink="">
      <xdr:nvSpPr>
        <xdr:cNvPr id="59" name="Flik_02">
          <a:hlinkClick xmlns:r="http://schemas.openxmlformats.org/officeDocument/2006/relationships" r:id="rId4"/>
          <a:extLst>
            <a:ext uri="{FF2B5EF4-FFF2-40B4-BE49-F238E27FC236}">
              <a16:creationId xmlns:a16="http://schemas.microsoft.com/office/drawing/2014/main" id="{1AD63142-10BB-46E1-9C34-B1DA0E64692C}"/>
            </a:ext>
          </a:extLst>
        </xdr:cNvPr>
        <xdr:cNvSpPr>
          <a:spLocks/>
        </xdr:cNvSpPr>
      </xdr:nvSpPr>
      <xdr:spPr bwMode="auto">
        <a:xfrm>
          <a:off x="159160" y="142876"/>
          <a:ext cx="2060166" cy="31816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Forside</a:t>
          </a:r>
        </a:p>
      </xdr:txBody>
    </xdr:sp>
    <xdr:clientData/>
  </xdr:twoCellAnchor>
  <xdr:twoCellAnchor editAs="absolute">
    <xdr:from>
      <xdr:col>5</xdr:col>
      <xdr:colOff>133350</xdr:colOff>
      <xdr:row>0</xdr:row>
      <xdr:rowOff>142876</xdr:rowOff>
    </xdr:from>
    <xdr:to>
      <xdr:col>7</xdr:col>
      <xdr:colOff>971550</xdr:colOff>
      <xdr:row>3</xdr:row>
      <xdr:rowOff>3837</xdr:rowOff>
    </xdr:to>
    <xdr:sp macro="" textlink="">
      <xdr:nvSpPr>
        <xdr:cNvPr id="61" name="Flik_01">
          <a:extLst>
            <a:ext uri="{FF2B5EF4-FFF2-40B4-BE49-F238E27FC236}">
              <a16:creationId xmlns:a16="http://schemas.microsoft.com/office/drawing/2014/main" id="{974CF0DB-809C-4BE9-B452-1F92B278EFBC}"/>
            </a:ext>
          </a:extLst>
        </xdr:cNvPr>
        <xdr:cNvSpPr>
          <a:spLocks/>
        </xdr:cNvSpPr>
      </xdr:nvSpPr>
      <xdr:spPr bwMode="auto">
        <a:xfrm>
          <a:off x="4124325" y="142876"/>
          <a:ext cx="2266950" cy="31816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FFFFFF">
            <a:lumMod val="10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0" baseline="0">
              <a:solidFill>
                <a:srgbClr val="376092">
                  <a:lumMod val="75000"/>
                </a:srgbClr>
              </a:solidFill>
              <a:latin typeface="Calibri" panose="020F0502020204030204" pitchFamily="34" charset="0"/>
            </a:rPr>
            <a:t>Maskinproduktivitet</a:t>
          </a:r>
        </a:p>
      </xdr:txBody>
    </xdr:sp>
    <xdr:clientData/>
  </xdr:twoCellAnchor>
  <xdr:twoCellAnchor editAs="oneCell">
    <xdr:from>
      <xdr:col>21</xdr:col>
      <xdr:colOff>266701</xdr:colOff>
      <xdr:row>3</xdr:row>
      <xdr:rowOff>83820</xdr:rowOff>
    </xdr:from>
    <xdr:to>
      <xdr:col>25</xdr:col>
      <xdr:colOff>106861</xdr:colOff>
      <xdr:row>5</xdr:row>
      <xdr:rowOff>15240</xdr:rowOff>
    </xdr:to>
    <xdr:pic>
      <xdr:nvPicPr>
        <xdr:cNvPr id="13" name="Grafikk 12">
          <a:extLst>
            <a:ext uri="{FF2B5EF4-FFF2-40B4-BE49-F238E27FC236}">
              <a16:creationId xmlns:a16="http://schemas.microsoft.com/office/drawing/2014/main" id="{4BA60D9A-A084-4791-A6AB-1875B563E8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6291561" y="541020"/>
          <a:ext cx="1935660" cy="655320"/>
        </a:xfrm>
        <a:prstGeom prst="rect">
          <a:avLst/>
        </a:prstGeom>
        <a:effectLst>
          <a:outerShdw blurRad="50800" dist="38100" dir="2700000" algn="tl"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392206</xdr:colOff>
      <xdr:row>1</xdr:row>
      <xdr:rowOff>33618</xdr:rowOff>
    </xdr:from>
    <xdr:to>
      <xdr:col>25</xdr:col>
      <xdr:colOff>173192</xdr:colOff>
      <xdr:row>3</xdr:row>
      <xdr:rowOff>11206</xdr:rowOff>
    </xdr:to>
    <xdr:sp macro="" textlink="">
      <xdr:nvSpPr>
        <xdr:cNvPr id="4" name="Frihånd 9">
          <a:extLst>
            <a:ext uri="{FF2B5EF4-FFF2-40B4-BE49-F238E27FC236}">
              <a16:creationId xmlns:a16="http://schemas.microsoft.com/office/drawing/2014/main" id="{95C1EA41-6382-442F-ADDA-A1DCFA757A6E}"/>
            </a:ext>
          </a:extLst>
        </xdr:cNvPr>
        <xdr:cNvSpPr>
          <a:spLocks/>
        </xdr:cNvSpPr>
      </xdr:nvSpPr>
      <xdr:spPr bwMode="auto">
        <a:xfrm>
          <a:off x="16135126" y="201258"/>
          <a:ext cx="1800286" cy="312868"/>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19</xdr:col>
      <xdr:colOff>672353</xdr:colOff>
      <xdr:row>1</xdr:row>
      <xdr:rowOff>22412</xdr:rowOff>
    </xdr:from>
    <xdr:to>
      <xdr:col>22</xdr:col>
      <xdr:colOff>150781</xdr:colOff>
      <xdr:row>3</xdr:row>
      <xdr:rowOff>11206</xdr:rowOff>
    </xdr:to>
    <xdr:sp macro="" textlink="">
      <xdr:nvSpPr>
        <xdr:cNvPr id="5" name="Frihånd 9">
          <a:extLst>
            <a:ext uri="{FF2B5EF4-FFF2-40B4-BE49-F238E27FC236}">
              <a16:creationId xmlns:a16="http://schemas.microsoft.com/office/drawing/2014/main" id="{6CC64A20-D56A-4B1E-8484-2A12D083F8B2}"/>
            </a:ext>
          </a:extLst>
        </xdr:cNvPr>
        <xdr:cNvSpPr>
          <a:spLocks/>
        </xdr:cNvSpPr>
      </xdr:nvSpPr>
      <xdr:spPr bwMode="auto">
        <a:xfrm>
          <a:off x="14434073" y="190052"/>
          <a:ext cx="1916828"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17</xdr:col>
      <xdr:colOff>885265</xdr:colOff>
      <xdr:row>1</xdr:row>
      <xdr:rowOff>22412</xdr:rowOff>
    </xdr:from>
    <xdr:to>
      <xdr:col>20</xdr:col>
      <xdr:colOff>11206</xdr:colOff>
      <xdr:row>3</xdr:row>
      <xdr:rowOff>11206</xdr:rowOff>
    </xdr:to>
    <xdr:sp macro="" textlink="">
      <xdr:nvSpPr>
        <xdr:cNvPr id="6" name="Frihånd 9">
          <a:extLst>
            <a:ext uri="{FF2B5EF4-FFF2-40B4-BE49-F238E27FC236}">
              <a16:creationId xmlns:a16="http://schemas.microsoft.com/office/drawing/2014/main" id="{D7C8E762-1142-4EE8-A669-6150B92DA546}"/>
            </a:ext>
          </a:extLst>
        </xdr:cNvPr>
        <xdr:cNvSpPr>
          <a:spLocks/>
        </xdr:cNvSpPr>
      </xdr:nvSpPr>
      <xdr:spPr bwMode="auto">
        <a:xfrm>
          <a:off x="12940105" y="190052"/>
          <a:ext cx="1823421"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16</xdr:col>
      <xdr:colOff>112059</xdr:colOff>
      <xdr:row>1</xdr:row>
      <xdr:rowOff>21790</xdr:rowOff>
    </xdr:from>
    <xdr:to>
      <xdr:col>18</xdr:col>
      <xdr:colOff>240428</xdr:colOff>
      <xdr:row>3</xdr:row>
      <xdr:rowOff>10584</xdr:rowOff>
    </xdr:to>
    <xdr:sp macro="" textlink="">
      <xdr:nvSpPr>
        <xdr:cNvPr id="7" name="Frihånd 9">
          <a:extLst>
            <a:ext uri="{FF2B5EF4-FFF2-40B4-BE49-F238E27FC236}">
              <a16:creationId xmlns:a16="http://schemas.microsoft.com/office/drawing/2014/main" id="{1A8E7FA5-8839-4926-BEA5-F0B5855FE7A5}"/>
            </a:ext>
          </a:extLst>
        </xdr:cNvPr>
        <xdr:cNvSpPr>
          <a:spLocks/>
        </xdr:cNvSpPr>
      </xdr:nvSpPr>
      <xdr:spPr bwMode="auto">
        <a:xfrm>
          <a:off x="11138199" y="189430"/>
          <a:ext cx="204860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9</xdr:col>
      <xdr:colOff>0</xdr:colOff>
      <xdr:row>0</xdr:row>
      <xdr:rowOff>156882</xdr:rowOff>
    </xdr:from>
    <xdr:to>
      <xdr:col>12</xdr:col>
      <xdr:colOff>195604</xdr:colOff>
      <xdr:row>3</xdr:row>
      <xdr:rowOff>11206</xdr:rowOff>
    </xdr:to>
    <xdr:sp macro="" textlink="">
      <xdr:nvSpPr>
        <xdr:cNvPr id="8" name="Frihånd 9">
          <a:extLst>
            <a:ext uri="{FF2B5EF4-FFF2-40B4-BE49-F238E27FC236}">
              <a16:creationId xmlns:a16="http://schemas.microsoft.com/office/drawing/2014/main" id="{5CCE8B1D-04E2-4216-85D9-2CB9D5E64E99}"/>
            </a:ext>
          </a:extLst>
        </xdr:cNvPr>
        <xdr:cNvSpPr>
          <a:spLocks/>
        </xdr:cNvSpPr>
      </xdr:nvSpPr>
      <xdr:spPr bwMode="auto">
        <a:xfrm>
          <a:off x="6926580" y="156882"/>
          <a:ext cx="1849144" cy="35724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6</xdr:col>
      <xdr:colOff>504264</xdr:colOff>
      <xdr:row>0</xdr:row>
      <xdr:rowOff>156882</xdr:rowOff>
    </xdr:from>
    <xdr:to>
      <xdr:col>9</xdr:col>
      <xdr:colOff>262839</xdr:colOff>
      <xdr:row>3</xdr:row>
      <xdr:rowOff>16722</xdr:rowOff>
    </xdr:to>
    <xdr:sp macro="" textlink="">
      <xdr:nvSpPr>
        <xdr:cNvPr id="9" name="Frihånd 9">
          <a:extLst>
            <a:ext uri="{FF2B5EF4-FFF2-40B4-BE49-F238E27FC236}">
              <a16:creationId xmlns:a16="http://schemas.microsoft.com/office/drawing/2014/main" id="{B90F6520-5560-403B-87D0-0CC355A4CE78}"/>
            </a:ext>
          </a:extLst>
        </xdr:cNvPr>
        <xdr:cNvSpPr>
          <a:spLocks/>
        </xdr:cNvSpPr>
      </xdr:nvSpPr>
      <xdr:spPr bwMode="auto">
        <a:xfrm>
          <a:off x="5312484" y="156882"/>
          <a:ext cx="1876935" cy="3627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649942</xdr:colOff>
      <xdr:row>0</xdr:row>
      <xdr:rowOff>156882</xdr:rowOff>
    </xdr:from>
    <xdr:to>
      <xdr:col>7</xdr:col>
      <xdr:colOff>117164</xdr:colOff>
      <xdr:row>2</xdr:row>
      <xdr:rowOff>151193</xdr:rowOff>
    </xdr:to>
    <xdr:sp macro="" textlink="">
      <xdr:nvSpPr>
        <xdr:cNvPr id="10" name="Frihånd 9">
          <a:extLst>
            <a:ext uri="{FF2B5EF4-FFF2-40B4-BE49-F238E27FC236}">
              <a16:creationId xmlns:a16="http://schemas.microsoft.com/office/drawing/2014/main" id="{BF7CC3A2-8101-4C91-A930-CBA09B544195}"/>
            </a:ext>
          </a:extLst>
        </xdr:cNvPr>
        <xdr:cNvSpPr>
          <a:spLocks/>
        </xdr:cNvSpPr>
      </xdr:nvSpPr>
      <xdr:spPr bwMode="auto">
        <a:xfrm>
          <a:off x="3583642" y="156882"/>
          <a:ext cx="1997062"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33619</xdr:colOff>
      <xdr:row>0</xdr:row>
      <xdr:rowOff>156882</xdr:rowOff>
    </xdr:from>
    <xdr:to>
      <xdr:col>4</xdr:col>
      <xdr:colOff>1053354</xdr:colOff>
      <xdr:row>2</xdr:row>
      <xdr:rowOff>151193</xdr:rowOff>
    </xdr:to>
    <xdr:sp macro="" textlink="">
      <xdr:nvSpPr>
        <xdr:cNvPr id="11" name="Frihånd 9">
          <a:extLst>
            <a:ext uri="{FF2B5EF4-FFF2-40B4-BE49-F238E27FC236}">
              <a16:creationId xmlns:a16="http://schemas.microsoft.com/office/drawing/2014/main" id="{365FA5FB-8B69-4D1C-8A02-3713AB3474D4}"/>
            </a:ext>
          </a:extLst>
        </xdr:cNvPr>
        <xdr:cNvSpPr>
          <a:spLocks/>
        </xdr:cNvSpPr>
      </xdr:nvSpPr>
      <xdr:spPr bwMode="auto">
        <a:xfrm>
          <a:off x="1976719" y="156882"/>
          <a:ext cx="2010335"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0</xdr:colOff>
      <xdr:row>0</xdr:row>
      <xdr:rowOff>155953</xdr:rowOff>
    </xdr:from>
    <xdr:to>
      <xdr:col>6</xdr:col>
      <xdr:colOff>270586</xdr:colOff>
      <xdr:row>2</xdr:row>
      <xdr:rowOff>153661</xdr:rowOff>
    </xdr:to>
    <xdr:grpSp>
      <xdr:nvGrpSpPr>
        <xdr:cNvPr id="12" name="Gruppe 5" descr="&quot;&quot;" title="Navigasjonsgrafikk">
          <a:extLst>
            <a:ext uri="{FF2B5EF4-FFF2-40B4-BE49-F238E27FC236}">
              <a16:creationId xmlns:a16="http://schemas.microsoft.com/office/drawing/2014/main" id="{8F9D2200-F6CA-4F01-8EC9-E832662322DF}"/>
            </a:ext>
          </a:extLst>
        </xdr:cNvPr>
        <xdr:cNvGrpSpPr>
          <a:grpSpLocks noChangeAspect="1"/>
        </xdr:cNvGrpSpPr>
      </xdr:nvGrpSpPr>
      <xdr:grpSpPr bwMode="auto">
        <a:xfrm>
          <a:off x="142875" y="155953"/>
          <a:ext cx="4804486" cy="340608"/>
          <a:chOff x="9" y="0"/>
          <a:chExt cx="808" cy="44"/>
        </a:xfrm>
      </xdr:grpSpPr>
      <xdr:sp macro="" textlink="">
        <xdr:nvSpPr>
          <xdr:cNvPr id="13" name="Autofigur 4">
            <a:extLst>
              <a:ext uri="{FF2B5EF4-FFF2-40B4-BE49-F238E27FC236}">
                <a16:creationId xmlns:a16="http://schemas.microsoft.com/office/drawing/2014/main" id="{4CBA17CB-3582-4867-94E7-C1090A063DD7}"/>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Rektangel 13">
            <a:extLst>
              <a:ext uri="{FF2B5EF4-FFF2-40B4-BE49-F238E27FC236}">
                <a16:creationId xmlns:a16="http://schemas.microsoft.com/office/drawing/2014/main" id="{353F7A3D-903C-4986-A00D-2758A7553831}"/>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 name="Rektangel 10">
            <a:extLst>
              <a:ext uri="{FF2B5EF4-FFF2-40B4-BE49-F238E27FC236}">
                <a16:creationId xmlns:a16="http://schemas.microsoft.com/office/drawing/2014/main" id="{77F41352-C736-47F8-8570-8F1E844F93C2}"/>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16" name="Frihånd 8">
            <a:extLst>
              <a:ext uri="{FF2B5EF4-FFF2-40B4-BE49-F238E27FC236}">
                <a16:creationId xmlns:a16="http://schemas.microsoft.com/office/drawing/2014/main" id="{88DC6DBF-D670-48FA-B7CF-0D742B3DFFF6}"/>
              </a:ext>
            </a:extLst>
          </xdr:cNvPr>
          <xdr:cNvSpPr>
            <a:spLocks/>
          </xdr:cNvSpPr>
        </xdr:nvSpPr>
        <xdr:spPr bwMode="auto">
          <a:xfrm>
            <a:off x="49" y="0"/>
            <a:ext cx="218" cy="40"/>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editAs="oneCell">
    <xdr:from>
      <xdr:col>2</xdr:col>
      <xdr:colOff>355270</xdr:colOff>
      <xdr:row>1</xdr:row>
      <xdr:rowOff>1367</xdr:rowOff>
    </xdr:from>
    <xdr:to>
      <xdr:col>2</xdr:col>
      <xdr:colOff>1325432</xdr:colOff>
      <xdr:row>2</xdr:row>
      <xdr:rowOff>143378</xdr:rowOff>
    </xdr:to>
    <xdr:sp macro="" textlink="">
      <xdr:nvSpPr>
        <xdr:cNvPr id="17" name="Sporing av vekttap" descr="Navigasjonsknapp" title="Sporing av vekttap">
          <a:hlinkClick xmlns:r="http://schemas.openxmlformats.org/officeDocument/2006/relationships" r:id="rId1"/>
          <a:extLst>
            <a:ext uri="{FF2B5EF4-FFF2-40B4-BE49-F238E27FC236}">
              <a16:creationId xmlns:a16="http://schemas.microsoft.com/office/drawing/2014/main" id="{B8CBE541-5E96-444B-BA00-2E6F96A02051}"/>
            </a:ext>
          </a:extLst>
        </xdr:cNvPr>
        <xdr:cNvSpPr/>
      </xdr:nvSpPr>
      <xdr:spPr>
        <a:xfrm>
          <a:off x="644830" y="169007"/>
          <a:ext cx="1320682" cy="3248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6</xdr:col>
      <xdr:colOff>693084</xdr:colOff>
      <xdr:row>1</xdr:row>
      <xdr:rowOff>0</xdr:rowOff>
    </xdr:from>
    <xdr:to>
      <xdr:col>7</xdr:col>
      <xdr:colOff>1237975</xdr:colOff>
      <xdr:row>2</xdr:row>
      <xdr:rowOff>119231</xdr:rowOff>
    </xdr:to>
    <xdr:sp macro="" textlink="">
      <xdr:nvSpPr>
        <xdr:cNvPr id="18" name="BMI-info" descr="Navigasjonsknapp" title="BMI-info">
          <a:hlinkClick xmlns:r="http://schemas.openxmlformats.org/officeDocument/2006/relationships" r:id="rId2"/>
          <a:extLst>
            <a:ext uri="{FF2B5EF4-FFF2-40B4-BE49-F238E27FC236}">
              <a16:creationId xmlns:a16="http://schemas.microsoft.com/office/drawing/2014/main" id="{0E17D439-7ECB-4D34-A3FB-81730C34F8F3}"/>
            </a:ext>
          </a:extLst>
        </xdr:cNvPr>
        <xdr:cNvSpPr/>
      </xdr:nvSpPr>
      <xdr:spPr>
        <a:xfrm>
          <a:off x="5463204" y="167640"/>
          <a:ext cx="1596451" cy="3021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xdr:from>
      <xdr:col>5</xdr:col>
      <xdr:colOff>57150</xdr:colOff>
      <xdr:row>15</xdr:row>
      <xdr:rowOff>271182</xdr:rowOff>
    </xdr:from>
    <xdr:to>
      <xdr:col>5</xdr:col>
      <xdr:colOff>828675</xdr:colOff>
      <xdr:row>15</xdr:row>
      <xdr:rowOff>404532</xdr:rowOff>
    </xdr:to>
    <xdr:sp macro="" textlink="">
      <xdr:nvSpPr>
        <xdr:cNvPr id="19" name="Pil høyre 2">
          <a:extLst>
            <a:ext uri="{FF2B5EF4-FFF2-40B4-BE49-F238E27FC236}">
              <a16:creationId xmlns:a16="http://schemas.microsoft.com/office/drawing/2014/main" id="{68A46230-EADD-47EE-B89D-466C4A9AE4B8}"/>
            </a:ext>
          </a:extLst>
        </xdr:cNvPr>
        <xdr:cNvSpPr/>
      </xdr:nvSpPr>
      <xdr:spPr>
        <a:xfrm>
          <a:off x="4050030" y="6123342"/>
          <a:ext cx="75628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57150</xdr:colOff>
      <xdr:row>15</xdr:row>
      <xdr:rowOff>271182</xdr:rowOff>
    </xdr:from>
    <xdr:to>
      <xdr:col>18</xdr:col>
      <xdr:colOff>828675</xdr:colOff>
      <xdr:row>15</xdr:row>
      <xdr:rowOff>404532</xdr:rowOff>
    </xdr:to>
    <xdr:sp macro="" textlink="">
      <xdr:nvSpPr>
        <xdr:cNvPr id="20" name="Pil høyre 23">
          <a:extLst>
            <a:ext uri="{FF2B5EF4-FFF2-40B4-BE49-F238E27FC236}">
              <a16:creationId xmlns:a16="http://schemas.microsoft.com/office/drawing/2014/main" id="{290F7897-CFEA-41D7-887A-D10776A6A6FA}"/>
            </a:ext>
          </a:extLst>
        </xdr:cNvPr>
        <xdr:cNvSpPr/>
      </xdr:nvSpPr>
      <xdr:spPr>
        <a:xfrm>
          <a:off x="13003530" y="6123342"/>
          <a:ext cx="75628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4</xdr:col>
      <xdr:colOff>941295</xdr:colOff>
      <xdr:row>1</xdr:row>
      <xdr:rowOff>0</xdr:rowOff>
    </xdr:from>
    <xdr:to>
      <xdr:col>6</xdr:col>
      <xdr:colOff>301836</xdr:colOff>
      <xdr:row>2</xdr:row>
      <xdr:rowOff>131601</xdr:rowOff>
    </xdr:to>
    <xdr:sp macro="" textlink="">
      <xdr:nvSpPr>
        <xdr:cNvPr id="21" name="BMI-info" descr="Navigasjonsknapp" title="BMI-info">
          <a:hlinkClick xmlns:r="http://schemas.openxmlformats.org/officeDocument/2006/relationships" r:id="rId3"/>
          <a:extLst>
            <a:ext uri="{FF2B5EF4-FFF2-40B4-BE49-F238E27FC236}">
              <a16:creationId xmlns:a16="http://schemas.microsoft.com/office/drawing/2014/main" id="{399B639C-723B-412E-B5F0-7D19C6D3AD34}"/>
            </a:ext>
          </a:extLst>
        </xdr:cNvPr>
        <xdr:cNvSpPr/>
      </xdr:nvSpPr>
      <xdr:spPr>
        <a:xfrm>
          <a:off x="3874995" y="167640"/>
          <a:ext cx="1555101" cy="314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3</xdr:col>
      <xdr:colOff>224118</xdr:colOff>
      <xdr:row>1</xdr:row>
      <xdr:rowOff>11206</xdr:rowOff>
    </xdr:from>
    <xdr:to>
      <xdr:col>4</xdr:col>
      <xdr:colOff>321833</xdr:colOff>
      <xdr:row>2</xdr:row>
      <xdr:rowOff>142807</xdr:rowOff>
    </xdr:to>
    <xdr:sp macro="" textlink="">
      <xdr:nvSpPr>
        <xdr:cNvPr id="22" name="BMI-info" descr="Navigasjonsknapp" title="BMI-info">
          <a:hlinkClick xmlns:r="http://schemas.openxmlformats.org/officeDocument/2006/relationships" r:id="rId4"/>
          <a:extLst>
            <a:ext uri="{FF2B5EF4-FFF2-40B4-BE49-F238E27FC236}">
              <a16:creationId xmlns:a16="http://schemas.microsoft.com/office/drawing/2014/main" id="{132094F8-4EED-4279-92A1-E5024E0A3566}"/>
            </a:ext>
          </a:extLst>
        </xdr:cNvPr>
        <xdr:cNvSpPr/>
      </xdr:nvSpPr>
      <xdr:spPr>
        <a:xfrm>
          <a:off x="2167218" y="178846"/>
          <a:ext cx="1438835" cy="314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9</xdr:col>
      <xdr:colOff>302558</xdr:colOff>
      <xdr:row>1</xdr:row>
      <xdr:rowOff>11829</xdr:rowOff>
    </xdr:from>
    <xdr:to>
      <xdr:col>11</xdr:col>
      <xdr:colOff>411480</xdr:colOff>
      <xdr:row>2</xdr:row>
      <xdr:rowOff>131060</xdr:rowOff>
    </xdr:to>
    <xdr:sp macro="" textlink="">
      <xdr:nvSpPr>
        <xdr:cNvPr id="23" name="BMI-info" descr="Navigasjonsknapp" title="BMI-info">
          <a:hlinkClick xmlns:r="http://schemas.openxmlformats.org/officeDocument/2006/relationships" r:id="rId5"/>
          <a:extLst>
            <a:ext uri="{FF2B5EF4-FFF2-40B4-BE49-F238E27FC236}">
              <a16:creationId xmlns:a16="http://schemas.microsoft.com/office/drawing/2014/main" id="{B0D3283F-9DDD-44C6-8AC7-C992EB020EB8}"/>
            </a:ext>
          </a:extLst>
        </xdr:cNvPr>
        <xdr:cNvSpPr/>
      </xdr:nvSpPr>
      <xdr:spPr>
        <a:xfrm>
          <a:off x="7229138" y="179469"/>
          <a:ext cx="1404322" cy="3021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twoCellAnchor editAs="oneCell">
    <xdr:from>
      <xdr:col>15</xdr:col>
      <xdr:colOff>0</xdr:colOff>
      <xdr:row>1</xdr:row>
      <xdr:rowOff>21166</xdr:rowOff>
    </xdr:from>
    <xdr:to>
      <xdr:col>19</xdr:col>
      <xdr:colOff>550509</xdr:colOff>
      <xdr:row>3</xdr:row>
      <xdr:rowOff>19322</xdr:rowOff>
    </xdr:to>
    <xdr:grpSp>
      <xdr:nvGrpSpPr>
        <xdr:cNvPr id="24" name="Gruppe 5" descr="&quot;&quot;" title="Navigasjonsgrafikk">
          <a:extLst>
            <a:ext uri="{FF2B5EF4-FFF2-40B4-BE49-F238E27FC236}">
              <a16:creationId xmlns:a16="http://schemas.microsoft.com/office/drawing/2014/main" id="{EA6C0588-7B2F-4344-9D3C-E2C4D7A7A3A2}"/>
            </a:ext>
          </a:extLst>
        </xdr:cNvPr>
        <xdr:cNvGrpSpPr>
          <a:grpSpLocks noChangeAspect="1"/>
        </xdr:cNvGrpSpPr>
      </xdr:nvGrpSpPr>
      <xdr:grpSpPr bwMode="auto">
        <a:xfrm>
          <a:off x="9115425" y="192616"/>
          <a:ext cx="4817709" cy="341056"/>
          <a:chOff x="9" y="0"/>
          <a:chExt cx="808" cy="44"/>
        </a:xfrm>
      </xdr:grpSpPr>
      <xdr:sp macro="" textlink="">
        <xdr:nvSpPr>
          <xdr:cNvPr id="25" name="Autofigur 4">
            <a:extLst>
              <a:ext uri="{FF2B5EF4-FFF2-40B4-BE49-F238E27FC236}">
                <a16:creationId xmlns:a16="http://schemas.microsoft.com/office/drawing/2014/main" id="{CC11A143-6265-45A6-BA2B-FEC23944D070}"/>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 name="Rektangel 25">
            <a:extLst>
              <a:ext uri="{FF2B5EF4-FFF2-40B4-BE49-F238E27FC236}">
                <a16:creationId xmlns:a16="http://schemas.microsoft.com/office/drawing/2014/main" id="{939EF3C6-FD17-4609-ABFB-5040FCE337DC}"/>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 name="Rektangel 10">
            <a:extLst>
              <a:ext uri="{FF2B5EF4-FFF2-40B4-BE49-F238E27FC236}">
                <a16:creationId xmlns:a16="http://schemas.microsoft.com/office/drawing/2014/main" id="{BF3CB4F3-7807-4803-ABB7-8B33208429D4}"/>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28" name="Frihånd 8">
            <a:extLst>
              <a:ext uri="{FF2B5EF4-FFF2-40B4-BE49-F238E27FC236}">
                <a16:creationId xmlns:a16="http://schemas.microsoft.com/office/drawing/2014/main" id="{D6F94EF3-978C-4C81-9BBA-45B6D8ACA4EC}"/>
              </a:ext>
            </a:extLst>
          </xdr:cNvPr>
          <xdr:cNvSpPr>
            <a:spLocks/>
          </xdr:cNvSpPr>
        </xdr:nvSpPr>
        <xdr:spPr bwMode="auto">
          <a:xfrm>
            <a:off x="49" y="0"/>
            <a:ext cx="218" cy="40"/>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editAs="oneCell">
    <xdr:from>
      <xdr:col>19</xdr:col>
      <xdr:colOff>905997</xdr:colOff>
      <xdr:row>1</xdr:row>
      <xdr:rowOff>28384</xdr:rowOff>
    </xdr:from>
    <xdr:to>
      <xdr:col>21</xdr:col>
      <xdr:colOff>156833</xdr:colOff>
      <xdr:row>2</xdr:row>
      <xdr:rowOff>141643</xdr:rowOff>
    </xdr:to>
    <xdr:sp macro="" textlink="">
      <xdr:nvSpPr>
        <xdr:cNvPr id="29" name="BMI-info" descr="Navigasjonsknapp" title="BMI-info">
          <a:hlinkClick xmlns:r="http://schemas.openxmlformats.org/officeDocument/2006/relationships" r:id="rId2" tooltip="Klikk for å vise ark med BMI-info"/>
          <a:extLst>
            <a:ext uri="{FF2B5EF4-FFF2-40B4-BE49-F238E27FC236}">
              <a16:creationId xmlns:a16="http://schemas.microsoft.com/office/drawing/2014/main" id="{F14E2384-239F-4B62-9AE1-9B5FA3E17DD1}"/>
            </a:ext>
          </a:extLst>
        </xdr:cNvPr>
        <xdr:cNvSpPr/>
      </xdr:nvSpPr>
      <xdr:spPr>
        <a:xfrm>
          <a:off x="14667717" y="196024"/>
          <a:ext cx="1536836" cy="296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18</xdr:col>
      <xdr:colOff>22413</xdr:colOff>
      <xdr:row>1</xdr:row>
      <xdr:rowOff>23341</xdr:rowOff>
    </xdr:from>
    <xdr:to>
      <xdr:col>19</xdr:col>
      <xdr:colOff>546236</xdr:colOff>
      <xdr:row>2</xdr:row>
      <xdr:rowOff>154493</xdr:rowOff>
    </xdr:to>
    <xdr:sp macro="" textlink="">
      <xdr:nvSpPr>
        <xdr:cNvPr id="30" name="BMI-info" descr="Navigasjonsknapp" title="BMI-info">
          <a:hlinkClick xmlns:r="http://schemas.openxmlformats.org/officeDocument/2006/relationships" r:id="rId3" tooltip="Klikk for å vise ark med BMI-info"/>
          <a:extLst>
            <a:ext uri="{FF2B5EF4-FFF2-40B4-BE49-F238E27FC236}">
              <a16:creationId xmlns:a16="http://schemas.microsoft.com/office/drawing/2014/main" id="{57805E92-B175-483D-80C2-8D2F09062068}"/>
            </a:ext>
          </a:extLst>
        </xdr:cNvPr>
        <xdr:cNvSpPr/>
      </xdr:nvSpPr>
      <xdr:spPr>
        <a:xfrm>
          <a:off x="12968793" y="190981"/>
          <a:ext cx="1689683" cy="3140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16</xdr:col>
      <xdr:colOff>380999</xdr:colOff>
      <xdr:row>1</xdr:row>
      <xdr:rowOff>12135</xdr:rowOff>
    </xdr:from>
    <xdr:to>
      <xdr:col>17</xdr:col>
      <xdr:colOff>514299</xdr:colOff>
      <xdr:row>2</xdr:row>
      <xdr:rowOff>143736</xdr:rowOff>
    </xdr:to>
    <xdr:sp macro="" textlink="">
      <xdr:nvSpPr>
        <xdr:cNvPr id="31"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23994313-6A2E-423B-BBE1-11E07C787D06}"/>
            </a:ext>
          </a:extLst>
        </xdr:cNvPr>
        <xdr:cNvSpPr/>
      </xdr:nvSpPr>
      <xdr:spPr>
        <a:xfrm>
          <a:off x="11407139" y="179775"/>
          <a:ext cx="1512520" cy="314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22</xdr:col>
      <xdr:colOff>179294</xdr:colOff>
      <xdr:row>1</xdr:row>
      <xdr:rowOff>45753</xdr:rowOff>
    </xdr:from>
    <xdr:to>
      <xdr:col>24</xdr:col>
      <xdr:colOff>320040</xdr:colOff>
      <xdr:row>2</xdr:row>
      <xdr:rowOff>164535</xdr:rowOff>
    </xdr:to>
    <xdr:sp macro="" textlink="">
      <xdr:nvSpPr>
        <xdr:cNvPr id="32"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10A82C03-1B11-46B1-B807-116C8C98A1E9}"/>
            </a:ext>
          </a:extLst>
        </xdr:cNvPr>
        <xdr:cNvSpPr/>
      </xdr:nvSpPr>
      <xdr:spPr>
        <a:xfrm>
          <a:off x="16379414" y="213393"/>
          <a:ext cx="1436146" cy="3016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twoCellAnchor editAs="oneCell">
    <xdr:from>
      <xdr:col>15</xdr:col>
      <xdr:colOff>537882</xdr:colOff>
      <xdr:row>1</xdr:row>
      <xdr:rowOff>31749</xdr:rowOff>
    </xdr:from>
    <xdr:to>
      <xdr:col>15</xdr:col>
      <xdr:colOff>1384778</xdr:colOff>
      <xdr:row>2</xdr:row>
      <xdr:rowOff>164447</xdr:rowOff>
    </xdr:to>
    <xdr:sp macro="" textlink="">
      <xdr:nvSpPr>
        <xdr:cNvPr id="33" name="Sporing av vekttap" descr="Navigasjonsknapp" title="Sporing av vekttap">
          <a:hlinkClick xmlns:r="http://schemas.openxmlformats.org/officeDocument/2006/relationships" r:id="rId1"/>
          <a:extLst>
            <a:ext uri="{FF2B5EF4-FFF2-40B4-BE49-F238E27FC236}">
              <a16:creationId xmlns:a16="http://schemas.microsoft.com/office/drawing/2014/main" id="{6C55EB7F-9367-49BD-B7D8-F47FBBCD0F9C}"/>
            </a:ext>
          </a:extLst>
        </xdr:cNvPr>
        <xdr:cNvSpPr/>
      </xdr:nvSpPr>
      <xdr:spPr>
        <a:xfrm>
          <a:off x="9910482" y="199389"/>
          <a:ext cx="1197416" cy="3231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xdr:from>
      <xdr:col>7</xdr:col>
      <xdr:colOff>569258</xdr:colOff>
      <xdr:row>10</xdr:row>
      <xdr:rowOff>618564</xdr:rowOff>
    </xdr:from>
    <xdr:to>
      <xdr:col>11</xdr:col>
      <xdr:colOff>285749</xdr:colOff>
      <xdr:row>12</xdr:row>
      <xdr:rowOff>154641</xdr:rowOff>
    </xdr:to>
    <xdr:sp macro="" textlink="">
      <xdr:nvSpPr>
        <xdr:cNvPr id="34" name="TekstSylinder 33">
          <a:extLst>
            <a:ext uri="{FF2B5EF4-FFF2-40B4-BE49-F238E27FC236}">
              <a16:creationId xmlns:a16="http://schemas.microsoft.com/office/drawing/2014/main" id="{C0BFF1B4-CB2E-43F4-B78D-82610F4A8D4A}"/>
            </a:ext>
          </a:extLst>
        </xdr:cNvPr>
        <xdr:cNvSpPr txBox="1"/>
      </xdr:nvSpPr>
      <xdr:spPr>
        <a:xfrm>
          <a:off x="6032798" y="3925644"/>
          <a:ext cx="2124411" cy="41237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a:t>
          </a:r>
          <a:endParaRPr lang="nb-NO" sz="2000" b="1">
            <a:solidFill>
              <a:srgbClr val="002060"/>
            </a:solidFill>
          </a:endParaRPr>
        </a:p>
      </xdr:txBody>
    </xdr:sp>
    <xdr:clientData/>
  </xdr:twoCellAnchor>
  <xdr:twoCellAnchor>
    <xdr:from>
      <xdr:col>20</xdr:col>
      <xdr:colOff>429858</xdr:colOff>
      <xdr:row>10</xdr:row>
      <xdr:rowOff>690282</xdr:rowOff>
    </xdr:from>
    <xdr:to>
      <xdr:col>24</xdr:col>
      <xdr:colOff>19050</xdr:colOff>
      <xdr:row>12</xdr:row>
      <xdr:rowOff>335280</xdr:rowOff>
    </xdr:to>
    <xdr:sp macro="" textlink="">
      <xdr:nvSpPr>
        <xdr:cNvPr id="35" name="TekstSylinder 34">
          <a:extLst>
            <a:ext uri="{FF2B5EF4-FFF2-40B4-BE49-F238E27FC236}">
              <a16:creationId xmlns:a16="http://schemas.microsoft.com/office/drawing/2014/main" id="{85E263A1-019B-43DD-8872-304B2DE981E3}"/>
            </a:ext>
          </a:extLst>
        </xdr:cNvPr>
        <xdr:cNvSpPr txBox="1"/>
      </xdr:nvSpPr>
      <xdr:spPr>
        <a:xfrm>
          <a:off x="15182178" y="3997362"/>
          <a:ext cx="1981872" cy="52129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a:t>
          </a:r>
          <a:endParaRPr lang="nb-NO" sz="2000" b="1">
            <a:solidFill>
              <a:srgbClr val="00206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333376</xdr:colOff>
      <xdr:row>1</xdr:row>
      <xdr:rowOff>11206</xdr:rowOff>
    </xdr:from>
    <xdr:to>
      <xdr:col>9</xdr:col>
      <xdr:colOff>257175</xdr:colOff>
      <xdr:row>3</xdr:row>
      <xdr:rowOff>0</xdr:rowOff>
    </xdr:to>
    <xdr:sp macro="" textlink="">
      <xdr:nvSpPr>
        <xdr:cNvPr id="25" name="Frihånd 9">
          <a:extLst>
            <a:ext uri="{FF2B5EF4-FFF2-40B4-BE49-F238E27FC236}">
              <a16:creationId xmlns:a16="http://schemas.microsoft.com/office/drawing/2014/main" id="{00000000-0008-0000-0200-000019000000}"/>
            </a:ext>
          </a:extLst>
        </xdr:cNvPr>
        <xdr:cNvSpPr>
          <a:spLocks/>
        </xdr:cNvSpPr>
      </xdr:nvSpPr>
      <xdr:spPr bwMode="auto">
        <a:xfrm>
          <a:off x="6276976" y="182656"/>
          <a:ext cx="1990724"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600075</xdr:colOff>
      <xdr:row>1</xdr:row>
      <xdr:rowOff>11701</xdr:rowOff>
    </xdr:from>
    <xdr:to>
      <xdr:col>8</xdr:col>
      <xdr:colOff>628649</xdr:colOff>
      <xdr:row>3</xdr:row>
      <xdr:rowOff>4280</xdr:rowOff>
    </xdr:to>
    <xdr:sp macro="" textlink="">
      <xdr:nvSpPr>
        <xdr:cNvPr id="63" name="Frihånd 9">
          <a:extLst>
            <a:ext uri="{FF2B5EF4-FFF2-40B4-BE49-F238E27FC236}">
              <a16:creationId xmlns:a16="http://schemas.microsoft.com/office/drawing/2014/main" id="{00000000-0008-0000-0200-00003F000000}"/>
            </a:ext>
          </a:extLst>
        </xdr:cNvPr>
        <xdr:cNvSpPr>
          <a:spLocks/>
        </xdr:cNvSpPr>
      </xdr:nvSpPr>
      <xdr:spPr bwMode="auto">
        <a:xfrm>
          <a:off x="4860348" y="184883"/>
          <a:ext cx="1725756" cy="338942"/>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152400</xdr:colOff>
      <xdr:row>1</xdr:row>
      <xdr:rowOff>19050</xdr:rowOff>
    </xdr:from>
    <xdr:to>
      <xdr:col>1</xdr:col>
      <xdr:colOff>1632519</xdr:colOff>
      <xdr:row>3</xdr:row>
      <xdr:rowOff>13361</xdr:rowOff>
    </xdr:to>
    <xdr:sp macro="" textlink="">
      <xdr:nvSpPr>
        <xdr:cNvPr id="73" name="Frihånd 9">
          <a:extLst>
            <a:ext uri="{FF2B5EF4-FFF2-40B4-BE49-F238E27FC236}">
              <a16:creationId xmlns:a16="http://schemas.microsoft.com/office/drawing/2014/main" id="{00000000-0008-0000-0200-000049000000}"/>
            </a:ext>
          </a:extLst>
        </xdr:cNvPr>
        <xdr:cNvSpPr>
          <a:spLocks/>
        </xdr:cNvSpPr>
      </xdr:nvSpPr>
      <xdr:spPr bwMode="auto">
        <a:xfrm>
          <a:off x="685800" y="190500"/>
          <a:ext cx="1480119"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8565</xdr:rowOff>
    </xdr:from>
    <xdr:to>
      <xdr:col>3</xdr:col>
      <xdr:colOff>190500</xdr:colOff>
      <xdr:row>3</xdr:row>
      <xdr:rowOff>2876</xdr:rowOff>
    </xdr:to>
    <xdr:sp macro="" textlink="">
      <xdr:nvSpPr>
        <xdr:cNvPr id="64" name="Frihånd 9">
          <a:extLst>
            <a:ext uri="{FF2B5EF4-FFF2-40B4-BE49-F238E27FC236}">
              <a16:creationId xmlns:a16="http://schemas.microsoft.com/office/drawing/2014/main" id="{00000000-0008-0000-0200-000040000000}"/>
            </a:ext>
          </a:extLst>
        </xdr:cNvPr>
        <xdr:cNvSpPr>
          <a:spLocks/>
        </xdr:cNvSpPr>
      </xdr:nvSpPr>
      <xdr:spPr bwMode="auto">
        <a:xfrm>
          <a:off x="1894818" y="182500"/>
          <a:ext cx="1293986" cy="34218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78443</xdr:colOff>
      <xdr:row>6</xdr:row>
      <xdr:rowOff>89647</xdr:rowOff>
    </xdr:from>
    <xdr:to>
      <xdr:col>3</xdr:col>
      <xdr:colOff>466727</xdr:colOff>
      <xdr:row>8</xdr:row>
      <xdr:rowOff>129987</xdr:rowOff>
    </xdr:to>
    <xdr:pic>
      <xdr:nvPicPr>
        <xdr:cNvPr id="4" name="Bild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27914" y="1176618"/>
          <a:ext cx="2909607" cy="443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1656945</xdr:colOff>
      <xdr:row>10</xdr:row>
      <xdr:rowOff>89646</xdr:rowOff>
    </xdr:from>
    <xdr:to>
      <xdr:col>4</xdr:col>
      <xdr:colOff>704851</xdr:colOff>
      <xdr:row>12</xdr:row>
      <xdr:rowOff>85725</xdr:rowOff>
    </xdr:to>
    <xdr:pic>
      <xdr:nvPicPr>
        <xdr:cNvPr id="27" name="Bild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23670" y="2251821"/>
          <a:ext cx="2334031" cy="39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963705</xdr:colOff>
      <xdr:row>11</xdr:row>
      <xdr:rowOff>63875</xdr:rowOff>
    </xdr:from>
    <xdr:to>
      <xdr:col>1</xdr:col>
      <xdr:colOff>1602443</xdr:colOff>
      <xdr:row>13</xdr:row>
      <xdr:rowOff>19050</xdr:rowOff>
    </xdr:to>
    <xdr:cxnSp macro="">
      <xdr:nvCxnSpPr>
        <xdr:cNvPr id="30" name="Vinkel 29">
          <a:extLst>
            <a:ext uri="{FF2B5EF4-FFF2-40B4-BE49-F238E27FC236}">
              <a16:creationId xmlns:a16="http://schemas.microsoft.com/office/drawing/2014/main" id="{00000000-0008-0000-0200-00001E000000}"/>
            </a:ext>
          </a:extLst>
        </xdr:cNvPr>
        <xdr:cNvCxnSpPr/>
      </xdr:nvCxnSpPr>
      <xdr:spPr>
        <a:xfrm rot="10800000" flipV="1">
          <a:off x="1430430" y="2426075"/>
          <a:ext cx="638738" cy="355225"/>
        </a:xfrm>
        <a:prstGeom prst="bentConnector3">
          <a:avLst/>
        </a:prstGeom>
        <a:ln w="25400">
          <a:solidFill>
            <a:srgbClr val="FF0000"/>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156882</xdr:rowOff>
    </xdr:from>
    <xdr:to>
      <xdr:col>1</xdr:col>
      <xdr:colOff>932986</xdr:colOff>
      <xdr:row>13</xdr:row>
      <xdr:rowOff>100851</xdr:rowOff>
    </xdr:to>
    <xdr:pic>
      <xdr:nvPicPr>
        <xdr:cNvPr id="33" name="Bilde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49471" y="2252382"/>
          <a:ext cx="932986" cy="347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425822</xdr:colOff>
      <xdr:row>6</xdr:row>
      <xdr:rowOff>44448</xdr:rowOff>
    </xdr:from>
    <xdr:to>
      <xdr:col>8</xdr:col>
      <xdr:colOff>1628775</xdr:colOff>
      <xdr:row>7</xdr:row>
      <xdr:rowOff>80494</xdr:rowOff>
    </xdr:to>
    <xdr:pic>
      <xdr:nvPicPr>
        <xdr:cNvPr id="44" name="Bilde 43">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83622" y="634998"/>
          <a:ext cx="1202953" cy="236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1014693</xdr:colOff>
      <xdr:row>16</xdr:row>
      <xdr:rowOff>97492</xdr:rowOff>
    </xdr:from>
    <xdr:ext cx="2021584" cy="377637"/>
    <xdr:pic>
      <xdr:nvPicPr>
        <xdr:cNvPr id="50" name="Bild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5"/>
        <a:stretch>
          <a:fillRect/>
        </a:stretch>
      </xdr:blipFill>
      <xdr:spPr>
        <a:xfrm>
          <a:off x="6454201" y="3948523"/>
          <a:ext cx="2021584" cy="377637"/>
        </a:xfrm>
        <a:prstGeom prst="rect">
          <a:avLst/>
        </a:prstGeom>
      </xdr:spPr>
    </xdr:pic>
    <xdr:clientData/>
  </xdr:oneCellAnchor>
  <xdr:oneCellAnchor>
    <xdr:from>
      <xdr:col>15</xdr:col>
      <xdr:colOff>1200150</xdr:colOff>
      <xdr:row>6</xdr:row>
      <xdr:rowOff>26754</xdr:rowOff>
    </xdr:from>
    <xdr:ext cx="942975" cy="210905"/>
    <xdr:pic>
      <xdr:nvPicPr>
        <xdr:cNvPr id="54" name="Bilde 53">
          <a:extLst>
            <a:ext uri="{FF2B5EF4-FFF2-40B4-BE49-F238E27FC236}">
              <a16:creationId xmlns:a16="http://schemas.microsoft.com/office/drawing/2014/main" id="{00000000-0008-0000-0200-000036000000}"/>
            </a:ext>
          </a:extLst>
        </xdr:cNvPr>
        <xdr:cNvPicPr>
          <a:picLocks noChangeAspect="1"/>
        </xdr:cNvPicPr>
      </xdr:nvPicPr>
      <xdr:blipFill rotWithShape="1">
        <a:blip xmlns:r="http://schemas.openxmlformats.org/officeDocument/2006/relationships" r:embed="rId6"/>
        <a:srcRect l="1396" t="7891" r="1328" b="4567"/>
        <a:stretch/>
      </xdr:blipFill>
      <xdr:spPr>
        <a:xfrm>
          <a:off x="11134725" y="617304"/>
          <a:ext cx="714375" cy="210905"/>
        </a:xfrm>
        <a:prstGeom prst="rect">
          <a:avLst/>
        </a:prstGeom>
      </xdr:spPr>
    </xdr:pic>
    <xdr:clientData/>
  </xdr:oneCellAnchor>
  <xdr:oneCellAnchor>
    <xdr:from>
      <xdr:col>15</xdr:col>
      <xdr:colOff>1239202</xdr:colOff>
      <xdr:row>13</xdr:row>
      <xdr:rowOff>209550</xdr:rowOff>
    </xdr:from>
    <xdr:ext cx="1231463" cy="409575"/>
    <xdr:pic>
      <xdr:nvPicPr>
        <xdr:cNvPr id="56" name="Bilde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7"/>
        <a:stretch>
          <a:fillRect/>
        </a:stretch>
      </xdr:blipFill>
      <xdr:spPr>
        <a:xfrm>
          <a:off x="11173777" y="2200275"/>
          <a:ext cx="926663" cy="409575"/>
        </a:xfrm>
        <a:prstGeom prst="rect">
          <a:avLst/>
        </a:prstGeom>
      </xdr:spPr>
    </xdr:pic>
    <xdr:clientData/>
  </xdr:oneCellAnchor>
  <xdr:oneCellAnchor>
    <xdr:from>
      <xdr:col>15</xdr:col>
      <xdr:colOff>1181100</xdr:colOff>
      <xdr:row>5</xdr:row>
      <xdr:rowOff>320040</xdr:rowOff>
    </xdr:from>
    <xdr:ext cx="2621280" cy="394286"/>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8"/>
        <a:stretch>
          <a:fillRect/>
        </a:stretch>
      </xdr:blipFill>
      <xdr:spPr>
        <a:xfrm>
          <a:off x="11445240" y="1706880"/>
          <a:ext cx="2621280" cy="394286"/>
        </a:xfrm>
        <a:prstGeom prst="rect">
          <a:avLst/>
        </a:prstGeom>
      </xdr:spPr>
    </xdr:pic>
    <xdr:clientData/>
  </xdr:oneCellAnchor>
  <xdr:oneCellAnchor>
    <xdr:from>
      <xdr:col>14</xdr:col>
      <xdr:colOff>38100</xdr:colOff>
      <xdr:row>8</xdr:row>
      <xdr:rowOff>45720</xdr:rowOff>
    </xdr:from>
    <xdr:ext cx="4199792" cy="760001"/>
    <xdr:pic>
      <xdr:nvPicPr>
        <xdr:cNvPr id="3" name="Bild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9"/>
        <a:stretch>
          <a:fillRect/>
        </a:stretch>
      </xdr:blipFill>
      <xdr:spPr>
        <a:xfrm>
          <a:off x="9822180" y="2217420"/>
          <a:ext cx="4199792" cy="760001"/>
        </a:xfrm>
        <a:prstGeom prst="rect">
          <a:avLst/>
        </a:prstGeom>
      </xdr:spPr>
    </xdr:pic>
    <xdr:clientData/>
  </xdr:oneCellAnchor>
  <xdr:twoCellAnchor>
    <xdr:from>
      <xdr:col>15</xdr:col>
      <xdr:colOff>358140</xdr:colOff>
      <xdr:row>5</xdr:row>
      <xdr:rowOff>220980</xdr:rowOff>
    </xdr:from>
    <xdr:to>
      <xdr:col>18</xdr:col>
      <xdr:colOff>22860</xdr:colOff>
      <xdr:row>12</xdr:row>
      <xdr:rowOff>38100</xdr:rowOff>
    </xdr:to>
    <xdr:sp macro="" textlink="">
      <xdr:nvSpPr>
        <xdr:cNvPr id="6" name="Divisjon 5">
          <a:extLst>
            <a:ext uri="{FF2B5EF4-FFF2-40B4-BE49-F238E27FC236}">
              <a16:creationId xmlns:a16="http://schemas.microsoft.com/office/drawing/2014/main" id="{00000000-0008-0000-0200-000006000000}"/>
            </a:ext>
          </a:extLst>
        </xdr:cNvPr>
        <xdr:cNvSpPr/>
      </xdr:nvSpPr>
      <xdr:spPr>
        <a:xfrm>
          <a:off x="10622280" y="1607820"/>
          <a:ext cx="2606040" cy="1394460"/>
        </a:xfrm>
        <a:prstGeom prst="mathDivide">
          <a:avLst>
            <a:gd name="adj1" fmla="val 11498"/>
            <a:gd name="adj2" fmla="val 5880"/>
            <a:gd name="adj3" fmla="val 10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112059</xdr:colOff>
      <xdr:row>1</xdr:row>
      <xdr:rowOff>11207</xdr:rowOff>
    </xdr:from>
    <xdr:to>
      <xdr:col>18</xdr:col>
      <xdr:colOff>240428</xdr:colOff>
      <xdr:row>3</xdr:row>
      <xdr:rowOff>1</xdr:rowOff>
    </xdr:to>
    <xdr:sp macro="" textlink="">
      <xdr:nvSpPr>
        <xdr:cNvPr id="24" name="Frihånd 9">
          <a:extLst>
            <a:ext uri="{FF2B5EF4-FFF2-40B4-BE49-F238E27FC236}">
              <a16:creationId xmlns:a16="http://schemas.microsoft.com/office/drawing/2014/main" id="{00000000-0008-0000-0200-000018000000}"/>
            </a:ext>
          </a:extLst>
        </xdr:cNvPr>
        <xdr:cNvSpPr>
          <a:spLocks/>
        </xdr:cNvSpPr>
      </xdr:nvSpPr>
      <xdr:spPr bwMode="auto">
        <a:xfrm>
          <a:off x="10429875" y="182657"/>
          <a:ext cx="0"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524836</xdr:colOff>
      <xdr:row>1</xdr:row>
      <xdr:rowOff>7202</xdr:rowOff>
    </xdr:from>
    <xdr:to>
      <xdr:col>4</xdr:col>
      <xdr:colOff>809625</xdr:colOff>
      <xdr:row>3</xdr:row>
      <xdr:rowOff>1513</xdr:rowOff>
    </xdr:to>
    <xdr:sp macro="" textlink="">
      <xdr:nvSpPr>
        <xdr:cNvPr id="29" name="Frihånd 9">
          <a:extLst>
            <a:ext uri="{FF2B5EF4-FFF2-40B4-BE49-F238E27FC236}">
              <a16:creationId xmlns:a16="http://schemas.microsoft.com/office/drawing/2014/main" id="{00000000-0008-0000-0200-00001D000000}"/>
            </a:ext>
          </a:extLst>
        </xdr:cNvPr>
        <xdr:cNvSpPr>
          <a:spLocks/>
        </xdr:cNvSpPr>
      </xdr:nvSpPr>
      <xdr:spPr bwMode="auto">
        <a:xfrm>
          <a:off x="3363286" y="178652"/>
          <a:ext cx="1704014"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260181</xdr:colOff>
      <xdr:row>1</xdr:row>
      <xdr:rowOff>21686</xdr:rowOff>
    </xdr:from>
    <xdr:ext cx="1273344" cy="302939"/>
    <xdr:sp macro="" textlink="">
      <xdr:nvSpPr>
        <xdr:cNvPr id="31" name="Sporing av vekttap" descr="Navigasjonsknapp" title="Sporing av vekttap">
          <a:hlinkClick xmlns:r="http://schemas.openxmlformats.org/officeDocument/2006/relationships" r:id="rId10"/>
          <a:extLst>
            <a:ext uri="{FF2B5EF4-FFF2-40B4-BE49-F238E27FC236}">
              <a16:creationId xmlns:a16="http://schemas.microsoft.com/office/drawing/2014/main" id="{00000000-0008-0000-0200-00001F000000}"/>
            </a:ext>
          </a:extLst>
        </xdr:cNvPr>
        <xdr:cNvSpPr/>
      </xdr:nvSpPr>
      <xdr:spPr>
        <a:xfrm>
          <a:off x="793581" y="193136"/>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4</xdr:col>
      <xdr:colOff>634457</xdr:colOff>
      <xdr:row>1</xdr:row>
      <xdr:rowOff>37234</xdr:rowOff>
    </xdr:from>
    <xdr:ext cx="1560435" cy="280191"/>
    <xdr:sp macro="" textlink="">
      <xdr:nvSpPr>
        <xdr:cNvPr id="34"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00000000-0008-0000-0200-000022000000}"/>
            </a:ext>
          </a:extLst>
        </xdr:cNvPr>
        <xdr:cNvSpPr/>
      </xdr:nvSpPr>
      <xdr:spPr>
        <a:xfrm>
          <a:off x="4394761" y="211169"/>
          <a:ext cx="156043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oneCellAnchor>
  <xdr:oneCellAnchor>
    <xdr:from>
      <xdr:col>8</xdr:col>
      <xdr:colOff>616883</xdr:colOff>
      <xdr:row>1</xdr:row>
      <xdr:rowOff>50987</xdr:rowOff>
    </xdr:from>
    <xdr:ext cx="1488142" cy="267821"/>
    <xdr:sp macro="" textlink="">
      <xdr:nvSpPr>
        <xdr:cNvPr id="36"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00000000-0008-0000-0200-000024000000}"/>
            </a:ext>
          </a:extLst>
        </xdr:cNvPr>
        <xdr:cNvSpPr/>
      </xdr:nvSpPr>
      <xdr:spPr>
        <a:xfrm>
          <a:off x="6560483" y="222437"/>
          <a:ext cx="1488142"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editAs="oneCell">
    <xdr:from>
      <xdr:col>1</xdr:col>
      <xdr:colOff>1457738</xdr:colOff>
      <xdr:row>1</xdr:row>
      <xdr:rowOff>27332</xdr:rowOff>
    </xdr:from>
    <xdr:to>
      <xdr:col>3</xdr:col>
      <xdr:colOff>157369</xdr:colOff>
      <xdr:row>2</xdr:row>
      <xdr:rowOff>155123</xdr:rowOff>
    </xdr:to>
    <xdr:sp macro="" textlink="">
      <xdr:nvSpPr>
        <xdr:cNvPr id="68"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00000000-0008-0000-0200-000044000000}"/>
            </a:ext>
          </a:extLst>
        </xdr:cNvPr>
        <xdr:cNvSpPr/>
      </xdr:nvSpPr>
      <xdr:spPr>
        <a:xfrm>
          <a:off x="1921564" y="201267"/>
          <a:ext cx="1234109" cy="3017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2</xdr:col>
      <xdr:colOff>514350</xdr:colOff>
      <xdr:row>0</xdr:row>
      <xdr:rowOff>161926</xdr:rowOff>
    </xdr:from>
    <xdr:to>
      <xdr:col>4</xdr:col>
      <xdr:colOff>759644</xdr:colOff>
      <xdr:row>2</xdr:row>
      <xdr:rowOff>142439</xdr:rowOff>
    </xdr:to>
    <xdr:sp macro="" textlink="">
      <xdr:nvSpPr>
        <xdr:cNvPr id="69" name="BMI-info" descr="Navigasjonsknapp" title="BMI-info">
          <a:hlinkClick xmlns:r="http://schemas.openxmlformats.org/officeDocument/2006/relationships" r:id="rId14" tooltip="Klikk for å vise ark med BMI-info"/>
          <a:extLst>
            <a:ext uri="{FF2B5EF4-FFF2-40B4-BE49-F238E27FC236}">
              <a16:creationId xmlns:a16="http://schemas.microsoft.com/office/drawing/2014/main" id="{00000000-0008-0000-0200-000045000000}"/>
            </a:ext>
          </a:extLst>
        </xdr:cNvPr>
        <xdr:cNvSpPr/>
      </xdr:nvSpPr>
      <xdr:spPr>
        <a:xfrm>
          <a:off x="3352800" y="161926"/>
          <a:ext cx="1712144" cy="323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oneCellAnchor>
    <xdr:from>
      <xdr:col>8</xdr:col>
      <xdr:colOff>30480</xdr:colOff>
      <xdr:row>6</xdr:row>
      <xdr:rowOff>7620</xdr:rowOff>
    </xdr:from>
    <xdr:ext cx="2621280" cy="394286"/>
    <xdr:pic>
      <xdr:nvPicPr>
        <xdr:cNvPr id="28" name="Bilde 27">
          <a:extLst>
            <a:ext uri="{FF2B5EF4-FFF2-40B4-BE49-F238E27FC236}">
              <a16:creationId xmlns:a16="http://schemas.microsoft.com/office/drawing/2014/main" id="{48D16F6E-1D2D-4377-87E7-B09E68525332}"/>
            </a:ext>
          </a:extLst>
        </xdr:cNvPr>
        <xdr:cNvPicPr>
          <a:picLocks noChangeAspect="1"/>
        </xdr:cNvPicPr>
      </xdr:nvPicPr>
      <xdr:blipFill>
        <a:blip xmlns:r="http://schemas.openxmlformats.org/officeDocument/2006/relationships" r:embed="rId8"/>
        <a:stretch>
          <a:fillRect/>
        </a:stretch>
      </xdr:blipFill>
      <xdr:spPr>
        <a:xfrm>
          <a:off x="5471160" y="1783080"/>
          <a:ext cx="2621280" cy="394286"/>
        </a:xfrm>
        <a:prstGeom prst="rect">
          <a:avLst/>
        </a:prstGeom>
      </xdr:spPr>
    </xdr:pic>
    <xdr:clientData/>
  </xdr:oneCellAnchor>
  <xdr:oneCellAnchor>
    <xdr:from>
      <xdr:col>8</xdr:col>
      <xdr:colOff>906781</xdr:colOff>
      <xdr:row>16</xdr:row>
      <xdr:rowOff>30480</xdr:rowOff>
    </xdr:from>
    <xdr:ext cx="2225040" cy="541020"/>
    <xdr:pic>
      <xdr:nvPicPr>
        <xdr:cNvPr id="32" name="Bilde 31">
          <a:extLst>
            <a:ext uri="{FF2B5EF4-FFF2-40B4-BE49-F238E27FC236}">
              <a16:creationId xmlns:a16="http://schemas.microsoft.com/office/drawing/2014/main" id="{230B46CA-C5B6-4381-9318-37C7FC90AAAF}"/>
            </a:ext>
          </a:extLst>
        </xdr:cNvPr>
        <xdr:cNvPicPr>
          <a:picLocks noChangeAspect="1"/>
        </xdr:cNvPicPr>
      </xdr:nvPicPr>
      <xdr:blipFill>
        <a:blip xmlns:r="http://schemas.openxmlformats.org/officeDocument/2006/relationships" r:embed="rId8"/>
        <a:stretch>
          <a:fillRect/>
        </a:stretch>
      </xdr:blipFill>
      <xdr:spPr>
        <a:xfrm>
          <a:off x="6347461" y="3863340"/>
          <a:ext cx="2225040" cy="541020"/>
        </a:xfrm>
        <a:prstGeom prst="rect">
          <a:avLst/>
        </a:prstGeom>
      </xdr:spPr>
    </xdr:pic>
    <xdr:clientData/>
  </xdr:oneCellAnchor>
  <xdr:oneCellAnchor>
    <xdr:from>
      <xdr:col>15</xdr:col>
      <xdr:colOff>1028700</xdr:colOff>
      <xdr:row>13</xdr:row>
      <xdr:rowOff>129540</xdr:rowOff>
    </xdr:from>
    <xdr:ext cx="1577340" cy="518160"/>
    <xdr:pic>
      <xdr:nvPicPr>
        <xdr:cNvPr id="37" name="Bilde 36">
          <a:extLst>
            <a:ext uri="{FF2B5EF4-FFF2-40B4-BE49-F238E27FC236}">
              <a16:creationId xmlns:a16="http://schemas.microsoft.com/office/drawing/2014/main" id="{05442545-6A12-4EB4-A54C-9D8E69BB9302}"/>
            </a:ext>
          </a:extLst>
        </xdr:cNvPr>
        <xdr:cNvPicPr>
          <a:picLocks noChangeAspect="1"/>
        </xdr:cNvPicPr>
      </xdr:nvPicPr>
      <xdr:blipFill>
        <a:blip xmlns:r="http://schemas.openxmlformats.org/officeDocument/2006/relationships" r:embed="rId8"/>
        <a:stretch>
          <a:fillRect/>
        </a:stretch>
      </xdr:blipFill>
      <xdr:spPr>
        <a:xfrm>
          <a:off x="11292840" y="3291840"/>
          <a:ext cx="1577340" cy="518160"/>
        </a:xfrm>
        <a:prstGeom prst="rect">
          <a:avLst/>
        </a:prstGeom>
      </xdr:spPr>
    </xdr:pic>
    <xdr:clientData/>
  </xdr:oneCellAnchor>
  <xdr:oneCellAnchor>
    <xdr:from>
      <xdr:col>0</xdr:col>
      <xdr:colOff>327660</xdr:colOff>
      <xdr:row>6</xdr:row>
      <xdr:rowOff>7620</xdr:rowOff>
    </xdr:from>
    <xdr:ext cx="3352800" cy="518160"/>
    <xdr:pic>
      <xdr:nvPicPr>
        <xdr:cNvPr id="41" name="Bilde 40">
          <a:extLst>
            <a:ext uri="{FF2B5EF4-FFF2-40B4-BE49-F238E27FC236}">
              <a16:creationId xmlns:a16="http://schemas.microsoft.com/office/drawing/2014/main" id="{D09FA389-E774-4438-BEAC-41766CBCC9DF}"/>
            </a:ext>
          </a:extLst>
        </xdr:cNvPr>
        <xdr:cNvPicPr>
          <a:picLocks noChangeAspect="1"/>
        </xdr:cNvPicPr>
      </xdr:nvPicPr>
      <xdr:blipFill>
        <a:blip xmlns:r="http://schemas.openxmlformats.org/officeDocument/2006/relationships" r:embed="rId8"/>
        <a:stretch>
          <a:fillRect/>
        </a:stretch>
      </xdr:blipFill>
      <xdr:spPr>
        <a:xfrm>
          <a:off x="327660" y="1783080"/>
          <a:ext cx="3352800" cy="51816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8</xdr:col>
      <xdr:colOff>333376</xdr:colOff>
      <xdr:row>1</xdr:row>
      <xdr:rowOff>11206</xdr:rowOff>
    </xdr:from>
    <xdr:to>
      <xdr:col>9</xdr:col>
      <xdr:colOff>257175</xdr:colOff>
      <xdr:row>3</xdr:row>
      <xdr:rowOff>0</xdr:rowOff>
    </xdr:to>
    <xdr:sp macro="" textlink="">
      <xdr:nvSpPr>
        <xdr:cNvPr id="2" name="Frihånd 9">
          <a:extLst>
            <a:ext uri="{FF2B5EF4-FFF2-40B4-BE49-F238E27FC236}">
              <a16:creationId xmlns:a16="http://schemas.microsoft.com/office/drawing/2014/main" id="{C059D331-259A-4738-8B4E-E9C51349ADD6}"/>
            </a:ext>
          </a:extLst>
        </xdr:cNvPr>
        <xdr:cNvSpPr>
          <a:spLocks/>
        </xdr:cNvSpPr>
      </xdr:nvSpPr>
      <xdr:spPr bwMode="auto">
        <a:xfrm>
          <a:off x="5774056" y="178846"/>
          <a:ext cx="178307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600075</xdr:colOff>
      <xdr:row>1</xdr:row>
      <xdr:rowOff>11701</xdr:rowOff>
    </xdr:from>
    <xdr:to>
      <xdr:col>8</xdr:col>
      <xdr:colOff>628649</xdr:colOff>
      <xdr:row>3</xdr:row>
      <xdr:rowOff>4280</xdr:rowOff>
    </xdr:to>
    <xdr:sp macro="" textlink="">
      <xdr:nvSpPr>
        <xdr:cNvPr id="3" name="Frihånd 9">
          <a:extLst>
            <a:ext uri="{FF2B5EF4-FFF2-40B4-BE49-F238E27FC236}">
              <a16:creationId xmlns:a16="http://schemas.microsoft.com/office/drawing/2014/main" id="{0DA1B68A-9812-448C-91A9-9D799A410FA0}"/>
            </a:ext>
          </a:extLst>
        </xdr:cNvPr>
        <xdr:cNvSpPr>
          <a:spLocks/>
        </xdr:cNvSpPr>
      </xdr:nvSpPr>
      <xdr:spPr bwMode="auto">
        <a:xfrm>
          <a:off x="4478655" y="179341"/>
          <a:ext cx="1590674" cy="32785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152400</xdr:colOff>
      <xdr:row>1</xdr:row>
      <xdr:rowOff>19050</xdr:rowOff>
    </xdr:from>
    <xdr:to>
      <xdr:col>1</xdr:col>
      <xdr:colOff>1632519</xdr:colOff>
      <xdr:row>3</xdr:row>
      <xdr:rowOff>13361</xdr:rowOff>
    </xdr:to>
    <xdr:sp macro="" textlink="">
      <xdr:nvSpPr>
        <xdr:cNvPr id="4" name="Frihånd 9">
          <a:extLst>
            <a:ext uri="{FF2B5EF4-FFF2-40B4-BE49-F238E27FC236}">
              <a16:creationId xmlns:a16="http://schemas.microsoft.com/office/drawing/2014/main" id="{4128D3C6-95E7-494F-97CD-7AADE411645D}"/>
            </a:ext>
          </a:extLst>
        </xdr:cNvPr>
        <xdr:cNvSpPr>
          <a:spLocks/>
        </xdr:cNvSpPr>
      </xdr:nvSpPr>
      <xdr:spPr bwMode="auto">
        <a:xfrm>
          <a:off x="632460" y="186690"/>
          <a:ext cx="1480119"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8565</xdr:rowOff>
    </xdr:from>
    <xdr:to>
      <xdr:col>3</xdr:col>
      <xdr:colOff>190500</xdr:colOff>
      <xdr:row>3</xdr:row>
      <xdr:rowOff>2876</xdr:rowOff>
    </xdr:to>
    <xdr:sp macro="" textlink="">
      <xdr:nvSpPr>
        <xdr:cNvPr id="5" name="Frihånd 9">
          <a:extLst>
            <a:ext uri="{FF2B5EF4-FFF2-40B4-BE49-F238E27FC236}">
              <a16:creationId xmlns:a16="http://schemas.microsoft.com/office/drawing/2014/main" id="{0D2A01AD-AA5C-4D74-BFD0-559068CBA586}"/>
            </a:ext>
          </a:extLst>
        </xdr:cNvPr>
        <xdr:cNvSpPr>
          <a:spLocks/>
        </xdr:cNvSpPr>
      </xdr:nvSpPr>
      <xdr:spPr bwMode="auto">
        <a:xfrm>
          <a:off x="1911052" y="176205"/>
          <a:ext cx="1365548"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78443</xdr:colOff>
      <xdr:row>6</xdr:row>
      <xdr:rowOff>89647</xdr:rowOff>
    </xdr:from>
    <xdr:to>
      <xdr:col>3</xdr:col>
      <xdr:colOff>466727</xdr:colOff>
      <xdr:row>8</xdr:row>
      <xdr:rowOff>129987</xdr:rowOff>
    </xdr:to>
    <xdr:pic>
      <xdr:nvPicPr>
        <xdr:cNvPr id="6" name="Bilde 5">
          <a:extLst>
            <a:ext uri="{FF2B5EF4-FFF2-40B4-BE49-F238E27FC236}">
              <a16:creationId xmlns:a16="http://schemas.microsoft.com/office/drawing/2014/main" id="{01E0ECCF-F11F-4A77-AFDD-FA892D4868C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8503" y="1865107"/>
          <a:ext cx="2994324" cy="436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1656945</xdr:colOff>
      <xdr:row>10</xdr:row>
      <xdr:rowOff>89646</xdr:rowOff>
    </xdr:from>
    <xdr:to>
      <xdr:col>4</xdr:col>
      <xdr:colOff>704851</xdr:colOff>
      <xdr:row>12</xdr:row>
      <xdr:rowOff>85725</xdr:rowOff>
    </xdr:to>
    <xdr:pic>
      <xdr:nvPicPr>
        <xdr:cNvPr id="7" name="Bilde 6">
          <a:extLst>
            <a:ext uri="{FF2B5EF4-FFF2-40B4-BE49-F238E27FC236}">
              <a16:creationId xmlns:a16="http://schemas.microsoft.com/office/drawing/2014/main" id="{EBA50629-3395-4F69-A7E2-7A0A2C07F79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37005" y="2657586"/>
          <a:ext cx="2446426" cy="392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963705</xdr:colOff>
      <xdr:row>11</xdr:row>
      <xdr:rowOff>63875</xdr:rowOff>
    </xdr:from>
    <xdr:to>
      <xdr:col>1</xdr:col>
      <xdr:colOff>1602443</xdr:colOff>
      <xdr:row>13</xdr:row>
      <xdr:rowOff>19050</xdr:rowOff>
    </xdr:to>
    <xdr:cxnSp macro="">
      <xdr:nvCxnSpPr>
        <xdr:cNvPr id="8" name="Vinkel 29">
          <a:extLst>
            <a:ext uri="{FF2B5EF4-FFF2-40B4-BE49-F238E27FC236}">
              <a16:creationId xmlns:a16="http://schemas.microsoft.com/office/drawing/2014/main" id="{D0AFC62E-2964-4BDB-958F-3ECF3DDEF74B}"/>
            </a:ext>
          </a:extLst>
        </xdr:cNvPr>
        <xdr:cNvCxnSpPr/>
      </xdr:nvCxnSpPr>
      <xdr:spPr>
        <a:xfrm rot="10800000" flipV="1">
          <a:off x="1443765" y="2829935"/>
          <a:ext cx="638738" cy="351415"/>
        </a:xfrm>
        <a:prstGeom prst="bentConnector3">
          <a:avLst/>
        </a:prstGeom>
        <a:ln w="25400">
          <a:solidFill>
            <a:srgbClr val="FF0000"/>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156882</xdr:rowOff>
    </xdr:from>
    <xdr:to>
      <xdr:col>1</xdr:col>
      <xdr:colOff>932986</xdr:colOff>
      <xdr:row>13</xdr:row>
      <xdr:rowOff>100851</xdr:rowOff>
    </xdr:to>
    <xdr:pic>
      <xdr:nvPicPr>
        <xdr:cNvPr id="9" name="Bilde 8">
          <a:extLst>
            <a:ext uri="{FF2B5EF4-FFF2-40B4-BE49-F238E27FC236}">
              <a16:creationId xmlns:a16="http://schemas.microsoft.com/office/drawing/2014/main" id="{2FE2BA54-F8A7-4553-B0CC-52720AF4907C}"/>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0060" y="2922942"/>
          <a:ext cx="932986" cy="340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425822</xdr:colOff>
      <xdr:row>6</xdr:row>
      <xdr:rowOff>44448</xdr:rowOff>
    </xdr:from>
    <xdr:to>
      <xdr:col>8</xdr:col>
      <xdr:colOff>1628775</xdr:colOff>
      <xdr:row>7</xdr:row>
      <xdr:rowOff>80494</xdr:rowOff>
    </xdr:to>
    <xdr:pic>
      <xdr:nvPicPr>
        <xdr:cNvPr id="10" name="Bilde 9">
          <a:extLst>
            <a:ext uri="{FF2B5EF4-FFF2-40B4-BE49-F238E27FC236}">
              <a16:creationId xmlns:a16="http://schemas.microsoft.com/office/drawing/2014/main" id="{8723400A-2956-424F-B290-FF8C127D19DF}"/>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66502" y="1819908"/>
          <a:ext cx="1202953" cy="234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1014693</xdr:colOff>
      <xdr:row>16</xdr:row>
      <xdr:rowOff>97492</xdr:rowOff>
    </xdr:from>
    <xdr:ext cx="2021584" cy="377637"/>
    <xdr:pic>
      <xdr:nvPicPr>
        <xdr:cNvPr id="11" name="Bilde 10">
          <a:extLst>
            <a:ext uri="{FF2B5EF4-FFF2-40B4-BE49-F238E27FC236}">
              <a16:creationId xmlns:a16="http://schemas.microsoft.com/office/drawing/2014/main" id="{E3EE4837-69F7-49D3-BF15-A87E7ACE2F06}"/>
            </a:ext>
          </a:extLst>
        </xdr:cNvPr>
        <xdr:cNvPicPr>
          <a:picLocks noChangeAspect="1"/>
        </xdr:cNvPicPr>
      </xdr:nvPicPr>
      <xdr:blipFill>
        <a:blip xmlns:r="http://schemas.openxmlformats.org/officeDocument/2006/relationships" r:embed="rId5"/>
        <a:stretch>
          <a:fillRect/>
        </a:stretch>
      </xdr:blipFill>
      <xdr:spPr>
        <a:xfrm>
          <a:off x="6455373" y="3930352"/>
          <a:ext cx="2021584" cy="377637"/>
        </a:xfrm>
        <a:prstGeom prst="rect">
          <a:avLst/>
        </a:prstGeom>
      </xdr:spPr>
    </xdr:pic>
    <xdr:clientData/>
  </xdr:oneCellAnchor>
  <xdr:oneCellAnchor>
    <xdr:from>
      <xdr:col>15</xdr:col>
      <xdr:colOff>1200150</xdr:colOff>
      <xdr:row>6</xdr:row>
      <xdr:rowOff>26754</xdr:rowOff>
    </xdr:from>
    <xdr:ext cx="942975" cy="210905"/>
    <xdr:pic>
      <xdr:nvPicPr>
        <xdr:cNvPr id="12" name="Bilde 11">
          <a:extLst>
            <a:ext uri="{FF2B5EF4-FFF2-40B4-BE49-F238E27FC236}">
              <a16:creationId xmlns:a16="http://schemas.microsoft.com/office/drawing/2014/main" id="{41BDAEE0-F4A9-4B89-8EA6-72594F4D4C08}"/>
            </a:ext>
          </a:extLst>
        </xdr:cNvPr>
        <xdr:cNvPicPr>
          <a:picLocks noChangeAspect="1"/>
        </xdr:cNvPicPr>
      </xdr:nvPicPr>
      <xdr:blipFill rotWithShape="1">
        <a:blip xmlns:r="http://schemas.openxmlformats.org/officeDocument/2006/relationships" r:embed="rId6"/>
        <a:srcRect l="1396" t="7891" r="1328" b="4567"/>
        <a:stretch/>
      </xdr:blipFill>
      <xdr:spPr>
        <a:xfrm>
          <a:off x="11464290" y="1802214"/>
          <a:ext cx="942975" cy="210905"/>
        </a:xfrm>
        <a:prstGeom prst="rect">
          <a:avLst/>
        </a:prstGeom>
      </xdr:spPr>
    </xdr:pic>
    <xdr:clientData/>
  </xdr:oneCellAnchor>
  <xdr:oneCellAnchor>
    <xdr:from>
      <xdr:col>15</xdr:col>
      <xdr:colOff>1239202</xdr:colOff>
      <xdr:row>13</xdr:row>
      <xdr:rowOff>209550</xdr:rowOff>
    </xdr:from>
    <xdr:ext cx="1231463" cy="409575"/>
    <xdr:pic>
      <xdr:nvPicPr>
        <xdr:cNvPr id="13" name="Bilde 12">
          <a:extLst>
            <a:ext uri="{FF2B5EF4-FFF2-40B4-BE49-F238E27FC236}">
              <a16:creationId xmlns:a16="http://schemas.microsoft.com/office/drawing/2014/main" id="{625FFD4B-CC8F-4BA4-984A-572AD24721D5}"/>
            </a:ext>
          </a:extLst>
        </xdr:cNvPr>
        <xdr:cNvPicPr>
          <a:picLocks noChangeAspect="1"/>
        </xdr:cNvPicPr>
      </xdr:nvPicPr>
      <xdr:blipFill>
        <a:blip xmlns:r="http://schemas.openxmlformats.org/officeDocument/2006/relationships" r:embed="rId7"/>
        <a:stretch>
          <a:fillRect/>
        </a:stretch>
      </xdr:blipFill>
      <xdr:spPr>
        <a:xfrm>
          <a:off x="11503342" y="3371850"/>
          <a:ext cx="1231463" cy="409575"/>
        </a:xfrm>
        <a:prstGeom prst="rect">
          <a:avLst/>
        </a:prstGeom>
      </xdr:spPr>
    </xdr:pic>
    <xdr:clientData/>
  </xdr:oneCellAnchor>
  <xdr:oneCellAnchor>
    <xdr:from>
      <xdr:col>15</xdr:col>
      <xdr:colOff>1181100</xdr:colOff>
      <xdr:row>5</xdr:row>
      <xdr:rowOff>320040</xdr:rowOff>
    </xdr:from>
    <xdr:ext cx="2554355" cy="394286"/>
    <xdr:pic>
      <xdr:nvPicPr>
        <xdr:cNvPr id="14" name="Bilde 13">
          <a:extLst>
            <a:ext uri="{FF2B5EF4-FFF2-40B4-BE49-F238E27FC236}">
              <a16:creationId xmlns:a16="http://schemas.microsoft.com/office/drawing/2014/main" id="{0E60776E-5535-40B7-A0EE-9BD587387668}"/>
            </a:ext>
          </a:extLst>
        </xdr:cNvPr>
        <xdr:cNvPicPr>
          <a:picLocks noChangeAspect="1"/>
        </xdr:cNvPicPr>
      </xdr:nvPicPr>
      <xdr:blipFill>
        <a:blip xmlns:r="http://schemas.openxmlformats.org/officeDocument/2006/relationships" r:embed="rId8"/>
        <a:stretch>
          <a:fillRect/>
        </a:stretch>
      </xdr:blipFill>
      <xdr:spPr>
        <a:xfrm>
          <a:off x="11445240" y="1706880"/>
          <a:ext cx="2554355" cy="394286"/>
        </a:xfrm>
        <a:prstGeom prst="rect">
          <a:avLst/>
        </a:prstGeom>
      </xdr:spPr>
    </xdr:pic>
    <xdr:clientData/>
  </xdr:oneCellAnchor>
  <xdr:oneCellAnchor>
    <xdr:from>
      <xdr:col>8</xdr:col>
      <xdr:colOff>969817</xdr:colOff>
      <xdr:row>16</xdr:row>
      <xdr:rowOff>98047</xdr:rowOff>
    </xdr:from>
    <xdr:ext cx="2130937" cy="418062"/>
    <xdr:pic>
      <xdr:nvPicPr>
        <xdr:cNvPr id="18" name="Bilde 17">
          <a:extLst>
            <a:ext uri="{FF2B5EF4-FFF2-40B4-BE49-F238E27FC236}">
              <a16:creationId xmlns:a16="http://schemas.microsoft.com/office/drawing/2014/main" id="{310A733F-EFD5-457C-93C5-E1B65995333A}"/>
            </a:ext>
          </a:extLst>
        </xdr:cNvPr>
        <xdr:cNvPicPr>
          <a:picLocks noChangeAspect="1"/>
        </xdr:cNvPicPr>
      </xdr:nvPicPr>
      <xdr:blipFill>
        <a:blip xmlns:r="http://schemas.openxmlformats.org/officeDocument/2006/relationships" r:embed="rId8"/>
        <a:stretch>
          <a:fillRect/>
        </a:stretch>
      </xdr:blipFill>
      <xdr:spPr>
        <a:xfrm>
          <a:off x="6410497" y="3930907"/>
          <a:ext cx="2130937" cy="418062"/>
        </a:xfrm>
        <a:prstGeom prst="rect">
          <a:avLst/>
        </a:prstGeom>
      </xdr:spPr>
    </xdr:pic>
    <xdr:clientData/>
  </xdr:oneCellAnchor>
  <xdr:oneCellAnchor>
    <xdr:from>
      <xdr:col>15</xdr:col>
      <xdr:colOff>1203613</xdr:colOff>
      <xdr:row>13</xdr:row>
      <xdr:rowOff>168568</xdr:rowOff>
    </xdr:from>
    <xdr:ext cx="1537681" cy="460081"/>
    <xdr:pic>
      <xdr:nvPicPr>
        <xdr:cNvPr id="19" name="Bilde 18">
          <a:extLst>
            <a:ext uri="{FF2B5EF4-FFF2-40B4-BE49-F238E27FC236}">
              <a16:creationId xmlns:a16="http://schemas.microsoft.com/office/drawing/2014/main" id="{6B8264F1-DB78-46FB-802E-1D11EA8BA664}"/>
            </a:ext>
          </a:extLst>
        </xdr:cNvPr>
        <xdr:cNvPicPr>
          <a:picLocks noChangeAspect="1"/>
        </xdr:cNvPicPr>
      </xdr:nvPicPr>
      <xdr:blipFill>
        <a:blip xmlns:r="http://schemas.openxmlformats.org/officeDocument/2006/relationships" r:embed="rId8"/>
        <a:stretch>
          <a:fillRect/>
        </a:stretch>
      </xdr:blipFill>
      <xdr:spPr>
        <a:xfrm>
          <a:off x="11467753" y="3330868"/>
          <a:ext cx="1537681" cy="460081"/>
        </a:xfrm>
        <a:prstGeom prst="rect">
          <a:avLst/>
        </a:prstGeom>
      </xdr:spPr>
    </xdr:pic>
    <xdr:clientData/>
  </xdr:oneCellAnchor>
  <xdr:oneCellAnchor>
    <xdr:from>
      <xdr:col>14</xdr:col>
      <xdr:colOff>38100</xdr:colOff>
      <xdr:row>8</xdr:row>
      <xdr:rowOff>45720</xdr:rowOff>
    </xdr:from>
    <xdr:ext cx="4199792" cy="760001"/>
    <xdr:pic>
      <xdr:nvPicPr>
        <xdr:cNvPr id="20" name="Bilde 19">
          <a:extLst>
            <a:ext uri="{FF2B5EF4-FFF2-40B4-BE49-F238E27FC236}">
              <a16:creationId xmlns:a16="http://schemas.microsoft.com/office/drawing/2014/main" id="{C636D501-72DB-48A1-AA29-E73D56FF547C}"/>
            </a:ext>
          </a:extLst>
        </xdr:cNvPr>
        <xdr:cNvPicPr>
          <a:picLocks noChangeAspect="1"/>
        </xdr:cNvPicPr>
      </xdr:nvPicPr>
      <xdr:blipFill>
        <a:blip xmlns:r="http://schemas.openxmlformats.org/officeDocument/2006/relationships" r:embed="rId9"/>
        <a:stretch>
          <a:fillRect/>
        </a:stretch>
      </xdr:blipFill>
      <xdr:spPr>
        <a:xfrm>
          <a:off x="9822180" y="2217420"/>
          <a:ext cx="4199792" cy="760001"/>
        </a:xfrm>
        <a:prstGeom prst="rect">
          <a:avLst/>
        </a:prstGeom>
      </xdr:spPr>
    </xdr:pic>
    <xdr:clientData/>
  </xdr:oneCellAnchor>
  <xdr:twoCellAnchor>
    <xdr:from>
      <xdr:col>15</xdr:col>
      <xdr:colOff>358140</xdr:colOff>
      <xdr:row>5</xdr:row>
      <xdr:rowOff>220980</xdr:rowOff>
    </xdr:from>
    <xdr:to>
      <xdr:col>18</xdr:col>
      <xdr:colOff>22860</xdr:colOff>
      <xdr:row>12</xdr:row>
      <xdr:rowOff>38100</xdr:rowOff>
    </xdr:to>
    <xdr:sp macro="" textlink="">
      <xdr:nvSpPr>
        <xdr:cNvPr id="21" name="Divisjon 5">
          <a:extLst>
            <a:ext uri="{FF2B5EF4-FFF2-40B4-BE49-F238E27FC236}">
              <a16:creationId xmlns:a16="http://schemas.microsoft.com/office/drawing/2014/main" id="{DAF31332-D333-4B35-A090-C4B0BD3D5DDE}"/>
            </a:ext>
          </a:extLst>
        </xdr:cNvPr>
        <xdr:cNvSpPr/>
      </xdr:nvSpPr>
      <xdr:spPr>
        <a:xfrm>
          <a:off x="10622280" y="1607820"/>
          <a:ext cx="2606040" cy="1394460"/>
        </a:xfrm>
        <a:prstGeom prst="mathDivide">
          <a:avLst>
            <a:gd name="adj1" fmla="val 11498"/>
            <a:gd name="adj2" fmla="val 5880"/>
            <a:gd name="adj3" fmla="val 10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112059</xdr:colOff>
      <xdr:row>1</xdr:row>
      <xdr:rowOff>11207</xdr:rowOff>
    </xdr:from>
    <xdr:to>
      <xdr:col>18</xdr:col>
      <xdr:colOff>240428</xdr:colOff>
      <xdr:row>3</xdr:row>
      <xdr:rowOff>1</xdr:rowOff>
    </xdr:to>
    <xdr:sp macro="" textlink="">
      <xdr:nvSpPr>
        <xdr:cNvPr id="22" name="Frihånd 9">
          <a:extLst>
            <a:ext uri="{FF2B5EF4-FFF2-40B4-BE49-F238E27FC236}">
              <a16:creationId xmlns:a16="http://schemas.microsoft.com/office/drawing/2014/main" id="{C1A3BE81-3C59-462A-B8BD-4F501E9A747C}"/>
            </a:ext>
          </a:extLst>
        </xdr:cNvPr>
        <xdr:cNvSpPr>
          <a:spLocks/>
        </xdr:cNvSpPr>
      </xdr:nvSpPr>
      <xdr:spPr bwMode="auto">
        <a:xfrm>
          <a:off x="11999259" y="178847"/>
          <a:ext cx="144662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524836</xdr:colOff>
      <xdr:row>1</xdr:row>
      <xdr:rowOff>7202</xdr:rowOff>
    </xdr:from>
    <xdr:to>
      <xdr:col>4</xdr:col>
      <xdr:colOff>809625</xdr:colOff>
      <xdr:row>3</xdr:row>
      <xdr:rowOff>1513</xdr:rowOff>
    </xdr:to>
    <xdr:sp macro="" textlink="">
      <xdr:nvSpPr>
        <xdr:cNvPr id="23" name="Frihånd 9">
          <a:extLst>
            <a:ext uri="{FF2B5EF4-FFF2-40B4-BE49-F238E27FC236}">
              <a16:creationId xmlns:a16="http://schemas.microsoft.com/office/drawing/2014/main" id="{5F1BAF3B-A7CA-4A14-8A4B-82C1E95A7794}"/>
            </a:ext>
          </a:extLst>
        </xdr:cNvPr>
        <xdr:cNvSpPr>
          <a:spLocks/>
        </xdr:cNvSpPr>
      </xdr:nvSpPr>
      <xdr:spPr bwMode="auto">
        <a:xfrm>
          <a:off x="3085156" y="174842"/>
          <a:ext cx="1587809"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260181</xdr:colOff>
      <xdr:row>1</xdr:row>
      <xdr:rowOff>21686</xdr:rowOff>
    </xdr:from>
    <xdr:ext cx="1273344" cy="302939"/>
    <xdr:sp macro="" textlink="">
      <xdr:nvSpPr>
        <xdr:cNvPr id="24" name="Sporing av vekttap" descr="Navigasjonsknapp" title="Sporing av vekttap">
          <a:hlinkClick xmlns:r="http://schemas.openxmlformats.org/officeDocument/2006/relationships" r:id="rId10"/>
          <a:extLst>
            <a:ext uri="{FF2B5EF4-FFF2-40B4-BE49-F238E27FC236}">
              <a16:creationId xmlns:a16="http://schemas.microsoft.com/office/drawing/2014/main" id="{5D5A43DA-0256-46B1-AD05-5A015523BD25}"/>
            </a:ext>
          </a:extLst>
        </xdr:cNvPr>
        <xdr:cNvSpPr/>
      </xdr:nvSpPr>
      <xdr:spPr>
        <a:xfrm>
          <a:off x="740241" y="189326"/>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4</xdr:col>
      <xdr:colOff>634457</xdr:colOff>
      <xdr:row>1</xdr:row>
      <xdr:rowOff>37234</xdr:rowOff>
    </xdr:from>
    <xdr:ext cx="1560435" cy="280191"/>
    <xdr:sp macro="" textlink="">
      <xdr:nvSpPr>
        <xdr:cNvPr id="25"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C9ED4ABA-2B5E-44D3-8EE6-C0862220BB88}"/>
            </a:ext>
          </a:extLst>
        </xdr:cNvPr>
        <xdr:cNvSpPr/>
      </xdr:nvSpPr>
      <xdr:spPr>
        <a:xfrm>
          <a:off x="4513037" y="204874"/>
          <a:ext cx="156043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oneCellAnchor>
  <xdr:oneCellAnchor>
    <xdr:from>
      <xdr:col>8</xdr:col>
      <xdr:colOff>616883</xdr:colOff>
      <xdr:row>1</xdr:row>
      <xdr:rowOff>50987</xdr:rowOff>
    </xdr:from>
    <xdr:ext cx="1488142" cy="267821"/>
    <xdr:sp macro="" textlink="">
      <xdr:nvSpPr>
        <xdr:cNvPr id="26"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1A181235-E6CF-4731-AB44-0F8F6FBD8340}"/>
            </a:ext>
          </a:extLst>
        </xdr:cNvPr>
        <xdr:cNvSpPr/>
      </xdr:nvSpPr>
      <xdr:spPr>
        <a:xfrm>
          <a:off x="6057563" y="218627"/>
          <a:ext cx="1488142"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editAs="oneCell">
    <xdr:from>
      <xdr:col>1</xdr:col>
      <xdr:colOff>1457738</xdr:colOff>
      <xdr:row>1</xdr:row>
      <xdr:rowOff>27332</xdr:rowOff>
    </xdr:from>
    <xdr:to>
      <xdr:col>3</xdr:col>
      <xdr:colOff>157369</xdr:colOff>
      <xdr:row>2</xdr:row>
      <xdr:rowOff>139883</xdr:rowOff>
    </xdr:to>
    <xdr:sp macro="" textlink="">
      <xdr:nvSpPr>
        <xdr:cNvPr id="27"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AC4C5DE9-C726-4D05-A559-352EC15608E8}"/>
            </a:ext>
          </a:extLst>
        </xdr:cNvPr>
        <xdr:cNvSpPr/>
      </xdr:nvSpPr>
      <xdr:spPr>
        <a:xfrm>
          <a:off x="1937798" y="194972"/>
          <a:ext cx="1305671" cy="2954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2</xdr:col>
      <xdr:colOff>514350</xdr:colOff>
      <xdr:row>0</xdr:row>
      <xdr:rowOff>161926</xdr:rowOff>
    </xdr:from>
    <xdr:to>
      <xdr:col>4</xdr:col>
      <xdr:colOff>759644</xdr:colOff>
      <xdr:row>2</xdr:row>
      <xdr:rowOff>111959</xdr:rowOff>
    </xdr:to>
    <xdr:sp macro="" textlink="">
      <xdr:nvSpPr>
        <xdr:cNvPr id="28" name="BMI-info" descr="Navigasjonsknapp" title="BMI-info">
          <a:hlinkClick xmlns:r="http://schemas.openxmlformats.org/officeDocument/2006/relationships" r:id="rId14" tooltip="Klikk for å vise ark med BMI-info"/>
          <a:extLst>
            <a:ext uri="{FF2B5EF4-FFF2-40B4-BE49-F238E27FC236}">
              <a16:creationId xmlns:a16="http://schemas.microsoft.com/office/drawing/2014/main" id="{990F93A7-33EB-4BD5-B741-64FDA1B03703}"/>
            </a:ext>
          </a:extLst>
        </xdr:cNvPr>
        <xdr:cNvSpPr/>
      </xdr:nvSpPr>
      <xdr:spPr>
        <a:xfrm>
          <a:off x="3074670" y="161926"/>
          <a:ext cx="1563554" cy="3157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8675</xdr:rowOff>
    </xdr:from>
    <xdr:to>
      <xdr:col>7</xdr:col>
      <xdr:colOff>106660</xdr:colOff>
      <xdr:row>3</xdr:row>
      <xdr:rowOff>48500</xdr:rowOff>
    </xdr:to>
    <xdr:grpSp>
      <xdr:nvGrpSpPr>
        <xdr:cNvPr id="10" name="Gruppe 5" descr="&quot;&quot;" title="Navigasjonsgrafikk">
          <a:extLst>
            <a:ext uri="{FF2B5EF4-FFF2-40B4-BE49-F238E27FC236}">
              <a16:creationId xmlns:a16="http://schemas.microsoft.com/office/drawing/2014/main" id="{00000000-0008-0000-0100-00000A000000}"/>
            </a:ext>
          </a:extLst>
        </xdr:cNvPr>
        <xdr:cNvGrpSpPr>
          <a:grpSpLocks noChangeAspect="1"/>
        </xdr:cNvGrpSpPr>
      </xdr:nvGrpSpPr>
      <xdr:grpSpPr bwMode="auto">
        <a:xfrm>
          <a:off x="0" y="180125"/>
          <a:ext cx="6031210" cy="382725"/>
          <a:chOff x="9" y="0"/>
          <a:chExt cx="808" cy="50"/>
        </a:xfrm>
      </xdr:grpSpPr>
      <xdr:sp macro="" textlink="">
        <xdr:nvSpPr>
          <xdr:cNvPr id="11" name="Autofigur 4">
            <a:extLst>
              <a:ext uri="{FF2B5EF4-FFF2-40B4-BE49-F238E27FC236}">
                <a16:creationId xmlns:a16="http://schemas.microsoft.com/office/drawing/2014/main" id="{00000000-0008-0000-0100-00000B000000}"/>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ktangel 11">
            <a:extLst>
              <a:ext uri="{FF2B5EF4-FFF2-40B4-BE49-F238E27FC236}">
                <a16:creationId xmlns:a16="http://schemas.microsoft.com/office/drawing/2014/main" id="{00000000-0008-0000-0100-00000C000000}"/>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 name="Rektangel 10">
            <a:extLst>
              <a:ext uri="{FF2B5EF4-FFF2-40B4-BE49-F238E27FC236}">
                <a16:creationId xmlns:a16="http://schemas.microsoft.com/office/drawing/2014/main" id="{00000000-0008-0000-0100-00000D000000}"/>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14" name="Frihånd 8">
            <a:extLst>
              <a:ext uri="{FF2B5EF4-FFF2-40B4-BE49-F238E27FC236}">
                <a16:creationId xmlns:a16="http://schemas.microsoft.com/office/drawing/2014/main" id="{00000000-0008-0000-0100-00000E000000}"/>
              </a:ext>
            </a:extLst>
          </xdr:cNvPr>
          <xdr:cNvSpPr>
            <a:spLocks/>
          </xdr:cNvSpPr>
        </xdr:nvSpPr>
        <xdr:spPr bwMode="auto">
          <a:xfrm>
            <a:off x="50" y="1"/>
            <a:ext cx="218" cy="49"/>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xdr:from>
      <xdr:col>16</xdr:col>
      <xdr:colOff>112059</xdr:colOff>
      <xdr:row>1</xdr:row>
      <xdr:rowOff>11207</xdr:rowOff>
    </xdr:from>
    <xdr:to>
      <xdr:col>18</xdr:col>
      <xdr:colOff>240428</xdr:colOff>
      <xdr:row>3</xdr:row>
      <xdr:rowOff>1</xdr:rowOff>
    </xdr:to>
    <xdr:sp macro="" textlink="">
      <xdr:nvSpPr>
        <xdr:cNvPr id="5" name="Frihånd 9">
          <a:extLst>
            <a:ext uri="{FF2B5EF4-FFF2-40B4-BE49-F238E27FC236}">
              <a16:creationId xmlns:a16="http://schemas.microsoft.com/office/drawing/2014/main" id="{00000000-0008-0000-0100-000005000000}"/>
            </a:ext>
          </a:extLst>
        </xdr:cNvPr>
        <xdr:cNvSpPr>
          <a:spLocks/>
        </xdr:cNvSpPr>
      </xdr:nvSpPr>
      <xdr:spPr bwMode="auto">
        <a:xfrm>
          <a:off x="11904009" y="182657"/>
          <a:ext cx="2033369"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8</xdr:col>
      <xdr:colOff>333375</xdr:colOff>
      <xdr:row>1</xdr:row>
      <xdr:rowOff>30256</xdr:rowOff>
    </xdr:from>
    <xdr:to>
      <xdr:col>11</xdr:col>
      <xdr:colOff>314325</xdr:colOff>
      <xdr:row>3</xdr:row>
      <xdr:rowOff>19050</xdr:rowOff>
    </xdr:to>
    <xdr:sp macro="" textlink="">
      <xdr:nvSpPr>
        <xdr:cNvPr id="6" name="Frihånd 9">
          <a:extLst>
            <a:ext uri="{FF2B5EF4-FFF2-40B4-BE49-F238E27FC236}">
              <a16:creationId xmlns:a16="http://schemas.microsoft.com/office/drawing/2014/main" id="{00000000-0008-0000-0100-000006000000}"/>
            </a:ext>
          </a:extLst>
        </xdr:cNvPr>
        <xdr:cNvSpPr>
          <a:spLocks/>
        </xdr:cNvSpPr>
      </xdr:nvSpPr>
      <xdr:spPr bwMode="auto">
        <a:xfrm>
          <a:off x="7981950" y="201706"/>
          <a:ext cx="1952625"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6</xdr:col>
      <xdr:colOff>266139</xdr:colOff>
      <xdr:row>1</xdr:row>
      <xdr:rowOff>22092</xdr:rowOff>
    </xdr:from>
    <xdr:to>
      <xdr:col>8</xdr:col>
      <xdr:colOff>495300</xdr:colOff>
      <xdr:row>3</xdr:row>
      <xdr:rowOff>16402</xdr:rowOff>
    </xdr:to>
    <xdr:sp macro="" textlink="">
      <xdr:nvSpPr>
        <xdr:cNvPr id="7" name="Frihånd 9">
          <a:extLst>
            <a:ext uri="{FF2B5EF4-FFF2-40B4-BE49-F238E27FC236}">
              <a16:creationId xmlns:a16="http://schemas.microsoft.com/office/drawing/2014/main" id="{00000000-0008-0000-0100-000007000000}"/>
            </a:ext>
          </a:extLst>
        </xdr:cNvPr>
        <xdr:cNvSpPr>
          <a:spLocks/>
        </xdr:cNvSpPr>
      </xdr:nvSpPr>
      <xdr:spPr bwMode="auto">
        <a:xfrm>
          <a:off x="6095439" y="193542"/>
          <a:ext cx="2048436" cy="33721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78442</xdr:colOff>
      <xdr:row>1</xdr:row>
      <xdr:rowOff>8565</xdr:rowOff>
    </xdr:from>
    <xdr:to>
      <xdr:col>6</xdr:col>
      <xdr:colOff>484557</xdr:colOff>
      <xdr:row>3</xdr:row>
      <xdr:rowOff>2876</xdr:rowOff>
    </xdr:to>
    <xdr:sp macro="" textlink="">
      <xdr:nvSpPr>
        <xdr:cNvPr id="8" name="Frihånd 9">
          <a:extLst>
            <a:ext uri="{FF2B5EF4-FFF2-40B4-BE49-F238E27FC236}">
              <a16:creationId xmlns:a16="http://schemas.microsoft.com/office/drawing/2014/main" id="{00000000-0008-0000-0100-000008000000}"/>
            </a:ext>
          </a:extLst>
        </xdr:cNvPr>
        <xdr:cNvSpPr>
          <a:spLocks/>
        </xdr:cNvSpPr>
      </xdr:nvSpPr>
      <xdr:spPr bwMode="auto">
        <a:xfrm>
          <a:off x="3964642" y="180015"/>
          <a:ext cx="2349215"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1163011</xdr:colOff>
      <xdr:row>0</xdr:row>
      <xdr:rowOff>159602</xdr:rowOff>
    </xdr:from>
    <xdr:to>
      <xdr:col>4</xdr:col>
      <xdr:colOff>433330</xdr:colOff>
      <xdr:row>2</xdr:row>
      <xdr:rowOff>153913</xdr:rowOff>
    </xdr:to>
    <xdr:sp macro="" textlink="">
      <xdr:nvSpPr>
        <xdr:cNvPr id="9" name="Frihånd 9">
          <a:extLst>
            <a:ext uri="{FF2B5EF4-FFF2-40B4-BE49-F238E27FC236}">
              <a16:creationId xmlns:a16="http://schemas.microsoft.com/office/drawing/2014/main" id="{00000000-0008-0000-0100-000009000000}"/>
            </a:ext>
          </a:extLst>
        </xdr:cNvPr>
        <xdr:cNvSpPr>
          <a:spLocks/>
        </xdr:cNvSpPr>
      </xdr:nvSpPr>
      <xdr:spPr bwMode="auto">
        <a:xfrm>
          <a:off x="2067886" y="159602"/>
          <a:ext cx="2251644"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364956</xdr:colOff>
      <xdr:row>1</xdr:row>
      <xdr:rowOff>2636</xdr:rowOff>
    </xdr:from>
    <xdr:to>
      <xdr:col>2</xdr:col>
      <xdr:colOff>1066240</xdr:colOff>
      <xdr:row>3</xdr:row>
      <xdr:rowOff>775</xdr:rowOff>
    </xdr:to>
    <xdr:sp macro="" textlink="">
      <xdr:nvSpPr>
        <xdr:cNvPr id="15" name="Sporing av vekttap" descr="Navigasjonsknapp" title="Sporing av vekttap">
          <a:hlinkClick xmlns:r="http://schemas.openxmlformats.org/officeDocument/2006/relationships" r:id="rId1"/>
          <a:extLst>
            <a:ext uri="{FF2B5EF4-FFF2-40B4-BE49-F238E27FC236}">
              <a16:creationId xmlns:a16="http://schemas.microsoft.com/office/drawing/2014/main" id="{00000000-0008-0000-0100-00000F000000}"/>
            </a:ext>
          </a:extLst>
        </xdr:cNvPr>
        <xdr:cNvSpPr/>
      </xdr:nvSpPr>
      <xdr:spPr>
        <a:xfrm>
          <a:off x="584031" y="174086"/>
          <a:ext cx="1387084" cy="3410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6</xdr:col>
      <xdr:colOff>616884</xdr:colOff>
      <xdr:row>1</xdr:row>
      <xdr:rowOff>28575</xdr:rowOff>
    </xdr:from>
    <xdr:to>
      <xdr:col>8</xdr:col>
      <xdr:colOff>301835</xdr:colOff>
      <xdr:row>2</xdr:row>
      <xdr:rowOff>153565</xdr:rowOff>
    </xdr:to>
    <xdr:sp macro="" textlink="">
      <xdr:nvSpPr>
        <xdr:cNvPr id="16" name="BMI-info" descr="Navigasjonsknapp" title="BMI-info">
          <a:hlinkClick xmlns:r="http://schemas.openxmlformats.org/officeDocument/2006/relationships" r:id="rId2" tooltip="Klikk for å vise ark med BMI-info"/>
          <a:extLst>
            <a:ext uri="{FF2B5EF4-FFF2-40B4-BE49-F238E27FC236}">
              <a16:creationId xmlns:a16="http://schemas.microsoft.com/office/drawing/2014/main" id="{00000000-0008-0000-0100-000010000000}"/>
            </a:ext>
          </a:extLst>
        </xdr:cNvPr>
        <xdr:cNvSpPr/>
      </xdr:nvSpPr>
      <xdr:spPr>
        <a:xfrm>
          <a:off x="6446184" y="200025"/>
          <a:ext cx="1504226" cy="296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4</xdr:col>
      <xdr:colOff>465605</xdr:colOff>
      <xdr:row>1</xdr:row>
      <xdr:rowOff>19050</xdr:rowOff>
    </xdr:from>
    <xdr:to>
      <xdr:col>6</xdr:col>
      <xdr:colOff>300603</xdr:colOff>
      <xdr:row>2</xdr:row>
      <xdr:rowOff>146841</xdr:rowOff>
    </xdr:to>
    <xdr:sp macro="" textlink="">
      <xdr:nvSpPr>
        <xdr:cNvPr id="17" name="BMI-info" descr="Navigasjonsknapp" title="BMI-info">
          <a:hlinkClick xmlns:r="http://schemas.openxmlformats.org/officeDocument/2006/relationships" r:id="rId3" tooltip="Klikk for å vise ark med BMI-info"/>
          <a:extLst>
            <a:ext uri="{FF2B5EF4-FFF2-40B4-BE49-F238E27FC236}">
              <a16:creationId xmlns:a16="http://schemas.microsoft.com/office/drawing/2014/main" id="{00000000-0008-0000-0100-000011000000}"/>
            </a:ext>
          </a:extLst>
        </xdr:cNvPr>
        <xdr:cNvSpPr/>
      </xdr:nvSpPr>
      <xdr:spPr>
        <a:xfrm>
          <a:off x="4351805" y="190500"/>
          <a:ext cx="1778098" cy="299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2</xdr:col>
      <xdr:colOff>1425549</xdr:colOff>
      <xdr:row>1</xdr:row>
      <xdr:rowOff>1</xdr:rowOff>
    </xdr:from>
    <xdr:to>
      <xdr:col>4</xdr:col>
      <xdr:colOff>226244</xdr:colOff>
      <xdr:row>2</xdr:row>
      <xdr:rowOff>151964</xdr:rowOff>
    </xdr:to>
    <xdr:sp macro="" textlink="">
      <xdr:nvSpPr>
        <xdr:cNvPr id="18"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00000000-0008-0000-0100-000012000000}"/>
            </a:ext>
          </a:extLst>
        </xdr:cNvPr>
        <xdr:cNvSpPr/>
      </xdr:nvSpPr>
      <xdr:spPr>
        <a:xfrm>
          <a:off x="2323620" y="176894"/>
          <a:ext cx="1780660" cy="328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8</xdr:col>
      <xdr:colOff>578783</xdr:colOff>
      <xdr:row>1</xdr:row>
      <xdr:rowOff>41462</xdr:rowOff>
    </xdr:from>
    <xdr:to>
      <xdr:col>11</xdr:col>
      <xdr:colOff>114300</xdr:colOff>
      <xdr:row>2</xdr:row>
      <xdr:rowOff>156883</xdr:rowOff>
    </xdr:to>
    <xdr:sp macro="" textlink="">
      <xdr:nvSpPr>
        <xdr:cNvPr id="19"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00000000-0008-0000-0100-000013000000}"/>
            </a:ext>
          </a:extLst>
        </xdr:cNvPr>
        <xdr:cNvSpPr/>
      </xdr:nvSpPr>
      <xdr:spPr>
        <a:xfrm>
          <a:off x="8227358" y="212912"/>
          <a:ext cx="1450042" cy="286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kael/Documents/SKOGKURS/Excel-Mal%20T&#216;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mentbord"/>
      <sheetName val="Dataregistrering"/>
      <sheetName val="BMI-info"/>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2" displayName="Tabell2" ref="B6:C11" totalsRowShown="0">
  <autoFilter ref="B6:C11" xr:uid="{00000000-0009-0000-0100-000002000000}"/>
  <tableColumns count="2">
    <tableColumn id="1" xr3:uid="{00000000-0010-0000-0000-000001000000}" name="Y = overflatestruktur klasser"/>
    <tableColumn id="2" xr3:uid="{00000000-0010-0000-0000-000002000000}" name="Kjøreforhold" dataDxfId="11"/>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3" displayName="Tabell3" ref="F6:G11" totalsRowShown="0">
  <autoFilter ref="F6:G11" xr:uid="{00000000-0009-0000-0100-000003000000}"/>
  <tableColumns count="2">
    <tableColumn id="1" xr3:uid="{00000000-0010-0000-0100-000001000000}" name="L = helningsklasser"/>
    <tableColumn id="2" xr3:uid="{00000000-0010-0000-0100-000002000000}" name="% helning" dataDxfId="1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36" displayName="Tabell36" ref="I6:J9" totalsRowShown="0" headerRowDxfId="9" dataDxfId="8">
  <autoFilter ref="I6:J9" xr:uid="{00000000-0009-0000-0100-000005000000}"/>
  <tableColumns count="2">
    <tableColumn id="1" xr3:uid="{00000000-0010-0000-0200-000001000000}" name="Øvrig tid i                          cmin" dataDxfId="7"/>
    <tableColumn id="3" xr3:uid="{00000000-0010-0000-0200-000003000000}" name="Øvrig tid i sekund" dataDxfId="6">
      <calculatedColumnFormula>I7*100/60</calculatedColumnFormula>
    </tableColumn>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37" displayName="Tabell37" ref="F14:G20" totalsRowShown="0">
  <autoFilter ref="F14:G20" xr:uid="{00000000-0009-0000-0100-000006000000}"/>
  <tableColumns count="2">
    <tableColumn id="1" xr3:uid="{00000000-0010-0000-0300-000001000000}" name="K2 = Kostant etter lassbærerstørrelse"/>
    <tableColumn id="2" xr3:uid="{00000000-0010-0000-0300-000002000000}" name="Maskinstør-relse" dataDxfId="5"/>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ell369" displayName="Tabell369" ref="I14:K16" totalsRowShown="0" headerRowDxfId="4" dataDxfId="3">
  <autoFilter ref="I14:K16" xr:uid="{00000000-0009-0000-0100-000008000000}"/>
  <tableColumns count="3">
    <tableColumn id="1" xr3:uid="{00000000-0010-0000-0400-000001000000}" name="T4 variabler" dataDxfId="2"/>
    <tableColumn id="3" xr3:uid="{00000000-0010-0000-0400-000003000000}" name="a" dataDxfId="1">
      <calculatedColumnFormula>I15*100/60</calculatedColumnFormula>
    </tableColumn>
    <tableColumn id="4" xr3:uid="{00000000-0010-0000-0400-000004000000}" name="b" dataDxfId="0"/>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8.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showRowColHeaders="0" tabSelected="1" zoomScaleNormal="100" workbookViewId="0">
      <pane ySplit="7" topLeftCell="A8" activePane="bottomLeft" state="frozen"/>
      <selection pane="bottomLeft"/>
    </sheetView>
  </sheetViews>
  <sheetFormatPr defaultColWidth="0" defaultRowHeight="15" zeroHeight="1"/>
  <cols>
    <col min="1" max="1" width="7.7109375" customWidth="1"/>
    <col min="2" max="2" width="13.28515625" customWidth="1"/>
    <col min="3" max="3" width="12.140625" customWidth="1"/>
    <col min="4" max="7" width="13.7109375" customWidth="1"/>
    <col min="8" max="8" width="12.5703125" customWidth="1"/>
    <col min="9" max="9" width="5.42578125" style="346" customWidth="1"/>
    <col min="10" max="10" width="1.5703125" style="346" customWidth="1"/>
    <col min="11" max="11" width="3.140625" customWidth="1"/>
    <col min="12" max="12" width="63.42578125" customWidth="1"/>
    <col min="13" max="13" width="11.42578125" customWidth="1"/>
    <col min="14" max="14" width="9.85546875" customWidth="1"/>
    <col min="15" max="15" width="4.5703125" customWidth="1"/>
    <col min="16" max="16" width="2.7109375" customWidth="1"/>
    <col min="17" max="16384" width="11.42578125" hidden="1"/>
  </cols>
  <sheetData>
    <row r="1" spans="1:16" s="492" customFormat="1" ht="12" customHeight="1">
      <c r="A1" s="491"/>
    </row>
    <row r="2" spans="1:16" s="492" customFormat="1" ht="12" customHeight="1"/>
    <row r="3" spans="1:16" s="492" customFormat="1" ht="12" customHeight="1"/>
    <row r="4" spans="1:16" s="494" customFormat="1">
      <c r="A4" s="493"/>
      <c r="B4" s="493"/>
      <c r="C4" s="493"/>
      <c r="D4" s="493"/>
      <c r="E4" s="493"/>
      <c r="F4" s="493"/>
      <c r="G4" s="493"/>
      <c r="H4" s="493"/>
      <c r="I4" s="493"/>
      <c r="J4" s="493"/>
      <c r="K4" s="493"/>
      <c r="L4" s="493"/>
      <c r="M4" s="493"/>
      <c r="N4" s="493"/>
      <c r="O4" s="493"/>
      <c r="P4" s="493"/>
    </row>
    <row r="5" spans="1:16" s="494" customFormat="1" ht="47.25" customHeight="1">
      <c r="A5" s="495"/>
      <c r="B5" s="496"/>
      <c r="C5" s="497" t="s">
        <v>0</v>
      </c>
      <c r="D5" s="495"/>
      <c r="E5" s="496"/>
      <c r="F5" s="496"/>
      <c r="G5" s="496"/>
      <c r="H5" s="496"/>
      <c r="I5" s="496"/>
      <c r="J5" s="496"/>
      <c r="K5" s="496"/>
      <c r="L5" s="554" t="s">
        <v>1</v>
      </c>
      <c r="M5" s="559">
        <v>44798</v>
      </c>
      <c r="N5" s="559"/>
      <c r="O5" s="560"/>
      <c r="P5" s="560"/>
    </row>
    <row r="6" spans="1:16" s="494" customFormat="1" ht="12" customHeight="1">
      <c r="A6" s="495"/>
      <c r="B6" s="498"/>
      <c r="C6" s="496"/>
      <c r="D6" s="499"/>
      <c r="E6" s="499"/>
      <c r="F6" s="499"/>
      <c r="G6" s="499"/>
      <c r="H6" s="499"/>
      <c r="I6" s="499"/>
      <c r="J6" s="499"/>
      <c r="K6" s="498"/>
      <c r="L6" s="513"/>
      <c r="M6" s="501"/>
      <c r="N6" s="501"/>
      <c r="O6" s="560"/>
      <c r="P6" s="560"/>
    </row>
    <row r="7" spans="1:16" s="500" customFormat="1" ht="3.75" customHeight="1"/>
    <row r="8" spans="1:16" ht="15.6" customHeight="1">
      <c r="A8" s="346"/>
      <c r="B8" s="346"/>
      <c r="C8" s="346"/>
      <c r="D8" s="346"/>
      <c r="E8" s="346"/>
      <c r="F8" s="346"/>
      <c r="G8" s="346"/>
      <c r="H8" s="346"/>
      <c r="K8" s="346"/>
      <c r="L8" s="346"/>
      <c r="M8" s="346"/>
      <c r="N8" s="346"/>
      <c r="O8" s="346"/>
      <c r="P8" s="346"/>
    </row>
    <row r="9" spans="1:16" ht="12" customHeight="1" thickBot="1">
      <c r="A9" s="568"/>
      <c r="B9" s="568"/>
      <c r="C9" s="346"/>
      <c r="D9" s="347"/>
      <c r="E9" s="347"/>
      <c r="F9" s="348"/>
      <c r="G9" s="348"/>
      <c r="H9" s="348"/>
      <c r="I9" s="349"/>
      <c r="K9" s="368"/>
      <c r="L9" s="368"/>
      <c r="M9" s="368"/>
      <c r="N9" s="368"/>
      <c r="O9" s="368"/>
      <c r="P9" s="346"/>
    </row>
    <row r="10" spans="1:16" ht="21" customHeight="1" thickTop="1" thickBot="1">
      <c r="A10" s="512"/>
      <c r="B10" s="512"/>
      <c r="C10" s="346"/>
      <c r="D10" s="346"/>
      <c r="E10" s="346"/>
      <c r="F10" s="346"/>
      <c r="G10" s="352" t="s">
        <v>2</v>
      </c>
      <c r="H10" s="484"/>
      <c r="K10" s="368"/>
      <c r="L10" s="368"/>
      <c r="M10" s="368"/>
      <c r="N10" s="368"/>
      <c r="O10" s="368"/>
      <c r="P10" s="346"/>
    </row>
    <row r="11" spans="1:16" ht="18" customHeight="1" thickTop="1" thickBot="1">
      <c r="A11" s="346"/>
      <c r="B11" s="346"/>
      <c r="C11" s="346"/>
      <c r="D11" s="346"/>
      <c r="E11" s="346"/>
      <c r="F11" s="346"/>
      <c r="G11" s="352"/>
      <c r="H11" s="348"/>
      <c r="K11" s="368"/>
      <c r="L11" s="368"/>
      <c r="M11" s="368"/>
      <c r="N11" s="368"/>
      <c r="O11" s="368"/>
      <c r="P11" s="346"/>
    </row>
    <row r="12" spans="1:16" ht="23.45" customHeight="1" thickTop="1" thickBot="1">
      <c r="A12" s="346"/>
      <c r="B12" s="352" t="s">
        <v>3</v>
      </c>
      <c r="C12" s="570" t="s">
        <v>4</v>
      </c>
      <c r="D12" s="571"/>
      <c r="E12" s="572"/>
      <c r="F12" s="346"/>
      <c r="G12" s="352" t="s">
        <v>5</v>
      </c>
      <c r="H12" s="484"/>
      <c r="K12" s="368"/>
      <c r="L12" s="368"/>
      <c r="M12" s="368"/>
      <c r="N12" s="368"/>
      <c r="O12" s="368"/>
      <c r="P12" s="346"/>
    </row>
    <row r="13" spans="1:16" ht="20.25" thickTop="1" thickBot="1">
      <c r="A13" s="356"/>
      <c r="B13" s="357"/>
      <c r="C13" s="356"/>
      <c r="D13" s="356"/>
      <c r="E13" s="569" t="s">
        <v>6</v>
      </c>
      <c r="F13" s="346"/>
      <c r="G13" s="357"/>
      <c r="H13" s="346"/>
      <c r="K13" s="368"/>
      <c r="L13" s="368"/>
      <c r="M13" s="368"/>
      <c r="N13" s="368"/>
      <c r="O13" s="368"/>
      <c r="P13" s="346"/>
    </row>
    <row r="14" spans="1:16" ht="20.25" thickTop="1" thickBot="1">
      <c r="A14" s="346"/>
      <c r="B14" s="352" t="s">
        <v>7</v>
      </c>
      <c r="C14" s="484">
        <v>30</v>
      </c>
      <c r="D14" s="357" t="s">
        <v>8</v>
      </c>
      <c r="E14" s="569"/>
      <c r="F14" s="485" t="s">
        <v>9</v>
      </c>
      <c r="G14" s="352" t="s">
        <v>10</v>
      </c>
      <c r="H14" s="484">
        <v>17</v>
      </c>
      <c r="K14" s="368"/>
      <c r="L14" s="368"/>
      <c r="M14" s="368"/>
      <c r="N14" s="368"/>
      <c r="O14" s="368"/>
      <c r="P14" s="346"/>
    </row>
    <row r="15" spans="1:16" ht="16.5" thickTop="1" thickBot="1">
      <c r="A15" s="346"/>
      <c r="B15" s="346"/>
      <c r="C15" s="346"/>
      <c r="D15" s="346"/>
      <c r="E15" s="569"/>
      <c r="F15" s="346"/>
      <c r="G15" s="346"/>
      <c r="H15" s="346"/>
      <c r="K15" s="368"/>
      <c r="L15" s="368"/>
      <c r="M15" s="368"/>
      <c r="N15" s="368"/>
      <c r="O15" s="368"/>
      <c r="P15" s="346"/>
    </row>
    <row r="16" spans="1:16" ht="54" customHeight="1" thickBot="1">
      <c r="A16" s="358"/>
      <c r="B16" s="550"/>
      <c r="C16" s="359" t="s">
        <v>11</v>
      </c>
      <c r="D16" s="551" t="s">
        <v>12</v>
      </c>
      <c r="E16" s="551" t="s">
        <v>13</v>
      </c>
      <c r="F16" s="488" t="s">
        <v>14</v>
      </c>
      <c r="G16" s="361" t="s">
        <v>15</v>
      </c>
      <c r="H16" s="566" t="s">
        <v>16</v>
      </c>
      <c r="I16" s="566"/>
      <c r="J16" s="362"/>
      <c r="K16" s="368"/>
      <c r="L16" s="368"/>
      <c r="M16" s="368"/>
      <c r="N16" s="368"/>
      <c r="O16" s="368"/>
      <c r="P16" s="346"/>
    </row>
    <row r="17" spans="1:16" ht="23.25">
      <c r="A17" s="358"/>
      <c r="B17" s="346"/>
      <c r="C17" s="363">
        <v>1</v>
      </c>
      <c r="D17" s="364">
        <v>40</v>
      </c>
      <c r="E17" s="365">
        <v>200</v>
      </c>
      <c r="F17" s="365">
        <v>80</v>
      </c>
      <c r="G17" s="366">
        <v>18</v>
      </c>
      <c r="H17" s="367">
        <f>IF((G17&gt;0),(G17-2),(0))</f>
        <v>16</v>
      </c>
      <c r="I17" s="368"/>
      <c r="J17" s="362"/>
      <c r="K17" s="368"/>
      <c r="L17" s="368"/>
      <c r="M17" s="368"/>
      <c r="N17" s="368"/>
      <c r="O17" s="368"/>
      <c r="P17" s="346"/>
    </row>
    <row r="18" spans="1:16" ht="23.25">
      <c r="A18" s="346"/>
      <c r="B18" s="346"/>
      <c r="C18" s="363">
        <v>2</v>
      </c>
      <c r="D18" s="369"/>
      <c r="E18" s="370"/>
      <c r="F18" s="370"/>
      <c r="G18" s="371"/>
      <c r="H18" s="367" t="str">
        <f>IF((G18&gt;0),(G18-2),(""))</f>
        <v/>
      </c>
      <c r="I18" s="372"/>
      <c r="K18" s="368"/>
      <c r="L18" s="368"/>
      <c r="M18" s="368"/>
      <c r="N18" s="368"/>
      <c r="O18" s="368"/>
      <c r="P18" s="346"/>
    </row>
    <row r="19" spans="1:16" ht="24" thickBot="1">
      <c r="A19" s="346"/>
      <c r="B19" s="346"/>
      <c r="C19" s="363">
        <v>3</v>
      </c>
      <c r="D19" s="373"/>
      <c r="E19" s="374"/>
      <c r="F19" s="374"/>
      <c r="G19" s="375"/>
      <c r="H19" s="367" t="str">
        <f>IF((G19&gt;0),(G19-2),(""))</f>
        <v/>
      </c>
      <c r="I19" s="372"/>
      <c r="K19" s="368"/>
      <c r="L19" s="368"/>
      <c r="M19" s="368"/>
      <c r="N19" s="368"/>
      <c r="O19" s="368"/>
      <c r="P19" s="346"/>
    </row>
    <row r="20" spans="1:16" ht="27" thickBot="1">
      <c r="A20" s="346"/>
      <c r="B20" s="346"/>
      <c r="C20" s="376" t="s">
        <v>17</v>
      </c>
      <c r="D20" s="377">
        <f>AVERAGE(D17:D19)</f>
        <v>40</v>
      </c>
      <c r="E20" s="377">
        <f>AVERAGE(E17:E19)</f>
        <v>200</v>
      </c>
      <c r="F20" s="377">
        <f>AVERAGE(F17:F19)</f>
        <v>80</v>
      </c>
      <c r="G20" s="378">
        <f>AVERAGE(G17:G19)</f>
        <v>18</v>
      </c>
      <c r="H20" s="367">
        <f>AVERAGE(H17:H19)</f>
        <v>16</v>
      </c>
      <c r="I20" s="372"/>
      <c r="K20" s="346"/>
      <c r="L20" s="346"/>
      <c r="M20" s="346"/>
      <c r="N20" s="346"/>
      <c r="O20" s="346"/>
      <c r="P20" s="346"/>
    </row>
    <row r="21" spans="1:16" s="346" customFormat="1" ht="18" customHeight="1" thickBot="1"/>
    <row r="22" spans="1:16" ht="20.25" thickTop="1" thickBot="1">
      <c r="A22" s="382"/>
      <c r="B22" s="563" t="s">
        <v>18</v>
      </c>
      <c r="C22" s="563"/>
      <c r="D22" s="563"/>
      <c r="E22" s="484">
        <v>26</v>
      </c>
      <c r="F22" s="357" t="s">
        <v>19</v>
      </c>
      <c r="G22" s="357"/>
      <c r="H22" s="382"/>
      <c r="K22" s="346"/>
      <c r="L22" s="346"/>
      <c r="M22" s="346"/>
      <c r="N22" s="346"/>
      <c r="O22" s="346"/>
      <c r="P22" s="346"/>
    </row>
    <row r="23" spans="1:16" ht="6.6" customHeight="1" thickTop="1">
      <c r="A23" s="382"/>
      <c r="B23" s="449"/>
      <c r="C23" s="449"/>
      <c r="D23" s="449"/>
      <c r="E23" s="486"/>
      <c r="F23" s="357"/>
      <c r="G23" s="357"/>
      <c r="H23" s="382"/>
      <c r="K23" s="350"/>
      <c r="L23" s="383"/>
      <c r="M23" s="383"/>
      <c r="N23" s="383"/>
      <c r="O23" s="351"/>
      <c r="P23" s="346"/>
    </row>
    <row r="24" spans="1:16" ht="23.25">
      <c r="A24" s="564" t="s">
        <v>20</v>
      </c>
      <c r="B24" s="564"/>
      <c r="C24" s="564"/>
      <c r="D24" s="564"/>
      <c r="E24" s="455">
        <f>'KOSTNAD RYDDETRÆR'!E13</f>
        <v>0.15</v>
      </c>
      <c r="F24" s="452" t="s">
        <v>21</v>
      </c>
      <c r="G24" s="357"/>
      <c r="H24" s="382"/>
      <c r="K24" s="353"/>
      <c r="L24" s="447" t="s">
        <v>22</v>
      </c>
      <c r="M24" s="355"/>
      <c r="N24" s="355"/>
      <c r="O24" s="354"/>
      <c r="P24" s="346"/>
    </row>
    <row r="25" spans="1:16" ht="7.15" customHeight="1">
      <c r="A25" s="564"/>
      <c r="B25" s="564"/>
      <c r="C25" s="564"/>
      <c r="D25" s="564"/>
      <c r="E25" s="346"/>
      <c r="F25" s="357"/>
      <c r="G25" s="357"/>
      <c r="H25" s="382"/>
      <c r="K25" s="353"/>
      <c r="L25" s="446"/>
      <c r="M25" s="355"/>
      <c r="N25" s="355"/>
      <c r="O25" s="354"/>
      <c r="P25" s="346"/>
    </row>
    <row r="26" spans="1:16" ht="26.45" customHeight="1">
      <c r="A26" s="561" t="s">
        <v>23</v>
      </c>
      <c r="B26" s="561"/>
      <c r="C26" s="561"/>
      <c r="D26" s="562"/>
      <c r="E26" s="453">
        <f>SUM((D20-E22)/D20)</f>
        <v>0.35</v>
      </c>
      <c r="F26" s="452" t="s">
        <v>24</v>
      </c>
      <c r="G26" s="384"/>
      <c r="H26" s="385"/>
      <c r="I26" s="451"/>
      <c r="K26" s="353"/>
      <c r="L26" s="565" t="s">
        <v>25</v>
      </c>
      <c r="M26" s="355"/>
      <c r="N26" s="355"/>
      <c r="O26" s="354"/>
      <c r="P26" s="346"/>
    </row>
    <row r="27" spans="1:16" ht="20.100000000000001" customHeight="1">
      <c r="A27" s="561" t="s">
        <v>26</v>
      </c>
      <c r="B27" s="561"/>
      <c r="C27" s="561"/>
      <c r="D27" s="562"/>
      <c r="E27" s="386">
        <f>IF(F14="Gran",((-3.4837+(0.4451*D20*H20)+(1.0524*D20))/10),IF(F14="Furu",((24.4832+(0.5015*D20*H20)-(1.9794*H20))/10),IF(F14="Bjørk",((-0.66)+(0.3863*D20*H20)+(1.0203*D20))/10)))</f>
        <v>32.347629999999995</v>
      </c>
      <c r="F27" s="357" t="s">
        <v>27</v>
      </c>
      <c r="G27" s="387"/>
      <c r="H27" s="385"/>
      <c r="K27" s="353"/>
      <c r="L27" s="565"/>
      <c r="M27" s="355"/>
      <c r="N27" s="355"/>
      <c r="O27" s="354"/>
      <c r="P27" s="346"/>
    </row>
    <row r="28" spans="1:16" ht="6" customHeight="1">
      <c r="A28" s="382"/>
      <c r="B28" s="382"/>
      <c r="C28" s="382"/>
      <c r="D28" s="382"/>
      <c r="E28" s="388"/>
      <c r="F28" s="357"/>
      <c r="G28" s="357"/>
      <c r="H28" s="382"/>
      <c r="K28" s="353"/>
      <c r="L28" s="565" t="s">
        <v>28</v>
      </c>
      <c r="M28" s="565"/>
      <c r="N28" s="565"/>
      <c r="O28" s="354"/>
      <c r="P28" s="346"/>
    </row>
    <row r="29" spans="1:16" ht="20.100000000000001" customHeight="1">
      <c r="A29" s="567" t="s">
        <v>29</v>
      </c>
      <c r="B29" s="567"/>
      <c r="C29" s="567"/>
      <c r="D29" s="567"/>
      <c r="E29" s="389">
        <f>((E26*E27)*0.8)+(F20*0.015*'KOSTNAD RYDDETRÆR'!E13)</f>
        <v>9.2373363999999984</v>
      </c>
      <c r="F29" s="357" t="s">
        <v>30</v>
      </c>
      <c r="G29" s="357"/>
      <c r="H29" s="382"/>
      <c r="K29" s="353"/>
      <c r="L29" s="565"/>
      <c r="M29" s="565"/>
      <c r="N29" s="565"/>
      <c r="O29" s="354"/>
      <c r="P29" s="346"/>
    </row>
    <row r="30" spans="1:16" ht="6" customHeight="1">
      <c r="A30" s="382"/>
      <c r="B30" s="382"/>
      <c r="C30" s="382"/>
      <c r="D30" s="382"/>
      <c r="E30" s="388"/>
      <c r="F30" s="357"/>
      <c r="G30" s="357"/>
      <c r="H30" s="382"/>
      <c r="K30" s="353"/>
      <c r="L30" s="565"/>
      <c r="M30" s="565"/>
      <c r="N30" s="565"/>
      <c r="O30" s="354"/>
      <c r="P30" s="346"/>
    </row>
    <row r="31" spans="1:16" ht="20.100000000000001" customHeight="1">
      <c r="A31" s="567" t="s">
        <v>31</v>
      </c>
      <c r="B31" s="567"/>
      <c r="C31" s="567"/>
      <c r="D31" s="567"/>
      <c r="E31" s="386">
        <f>SUM(E29*C14)</f>
        <v>277.12009199999994</v>
      </c>
      <c r="F31" s="390" t="s">
        <v>32</v>
      </c>
      <c r="G31" s="357"/>
      <c r="H31" s="382"/>
      <c r="K31" s="353"/>
      <c r="L31" s="565"/>
      <c r="M31" s="565"/>
      <c r="N31" s="565"/>
      <c r="O31" s="354"/>
      <c r="P31" s="346"/>
    </row>
    <row r="32" spans="1:16" ht="6" customHeight="1">
      <c r="A32" s="391"/>
      <c r="B32" s="391"/>
      <c r="C32" s="391"/>
      <c r="D32" s="391"/>
      <c r="E32" s="388"/>
      <c r="F32" s="357"/>
      <c r="G32" s="357"/>
      <c r="H32" s="382"/>
      <c r="K32" s="353"/>
      <c r="L32" s="565" t="s">
        <v>33</v>
      </c>
      <c r="M32" s="565"/>
      <c r="N32" s="565"/>
      <c r="O32" s="354"/>
      <c r="P32" s="346"/>
    </row>
    <row r="33" spans="1:16" ht="20.100000000000001" customHeight="1">
      <c r="A33" s="561" t="s">
        <v>34</v>
      </c>
      <c r="B33" s="561"/>
      <c r="C33" s="561"/>
      <c r="D33" s="562"/>
      <c r="E33" s="386">
        <f>SUM((1-(E26*1.111))*E20)</f>
        <v>122.23000000000002</v>
      </c>
      <c r="F33" s="357" t="s">
        <v>35</v>
      </c>
      <c r="G33" s="357"/>
      <c r="H33" s="382"/>
      <c r="K33" s="353"/>
      <c r="L33" s="565"/>
      <c r="M33" s="565"/>
      <c r="N33" s="565"/>
      <c r="O33" s="354"/>
      <c r="P33" s="346"/>
    </row>
    <row r="34" spans="1:16" ht="6" customHeight="1">
      <c r="A34" s="382"/>
      <c r="B34" s="382"/>
      <c r="C34" s="382"/>
      <c r="D34" s="382"/>
      <c r="E34" s="388"/>
      <c r="F34" s="357"/>
      <c r="G34" s="357"/>
      <c r="H34" s="382"/>
      <c r="K34" s="353"/>
      <c r="L34" s="565"/>
      <c r="M34" s="565"/>
      <c r="N34" s="565"/>
      <c r="O34" s="354"/>
      <c r="P34" s="346"/>
    </row>
    <row r="35" spans="1:16" ht="20.100000000000001" customHeight="1">
      <c r="A35" s="561" t="s">
        <v>36</v>
      </c>
      <c r="B35" s="561"/>
      <c r="C35" s="561"/>
      <c r="D35" s="562"/>
      <c r="E35" s="392">
        <f>SUM(E29/((E20+(E24*F20))-E33))</f>
        <v>0.10290003787456835</v>
      </c>
      <c r="F35" s="357" t="s">
        <v>37</v>
      </c>
      <c r="G35" s="357"/>
      <c r="H35" s="382"/>
      <c r="K35" s="353"/>
      <c r="L35" s="565"/>
      <c r="M35" s="565"/>
      <c r="N35" s="565"/>
      <c r="O35" s="354"/>
      <c r="P35" s="346"/>
    </row>
    <row r="36" spans="1:16" ht="6" customHeight="1" thickBot="1">
      <c r="A36" s="382"/>
      <c r="B36" s="382"/>
      <c r="C36" s="382"/>
      <c r="D36" s="382"/>
      <c r="E36" s="388"/>
      <c r="F36" s="357"/>
      <c r="G36" s="357"/>
      <c r="H36" s="382"/>
      <c r="K36" s="379"/>
      <c r="L36" s="380"/>
      <c r="M36" s="380"/>
      <c r="N36" s="380"/>
      <c r="O36" s="381"/>
      <c r="P36" s="346"/>
    </row>
    <row r="37" spans="1:16" ht="20.100000000000001" customHeight="1" thickTop="1">
      <c r="A37" s="382"/>
      <c r="B37" s="561" t="s">
        <v>36</v>
      </c>
      <c r="C37" s="561"/>
      <c r="D37" s="562"/>
      <c r="E37" s="386">
        <f>1/E35</f>
        <v>9.7181694064968767</v>
      </c>
      <c r="F37" s="357" t="s">
        <v>38</v>
      </c>
      <c r="G37" s="357"/>
      <c r="H37" s="382"/>
      <c r="K37" s="346"/>
      <c r="L37" s="454"/>
      <c r="M37" s="454"/>
      <c r="N37" s="454"/>
      <c r="O37" s="346"/>
      <c r="P37" s="346"/>
    </row>
    <row r="38" spans="1:16" ht="23.25">
      <c r="A38" s="382"/>
      <c r="B38" s="382"/>
      <c r="C38" s="382"/>
      <c r="D38" s="382"/>
      <c r="E38" s="388"/>
      <c r="F38" s="357"/>
      <c r="G38" s="357"/>
      <c r="H38" s="382"/>
      <c r="K38" s="346"/>
      <c r="L38" s="454"/>
      <c r="M38" s="454"/>
      <c r="N38" s="454"/>
      <c r="O38" s="346"/>
      <c r="P38" s="346"/>
    </row>
    <row r="39" spans="1:16" s="500" customFormat="1" ht="3.75" customHeight="1"/>
    <row r="40" spans="1:16" s="503" customFormat="1" ht="38.25" customHeight="1">
      <c r="A40" s="495"/>
      <c r="B40" s="558" t="s">
        <v>39</v>
      </c>
      <c r="C40" s="558"/>
      <c r="D40" s="558"/>
      <c r="E40" s="558"/>
      <c r="F40" s="558"/>
      <c r="G40" s="558"/>
      <c r="H40" s="558"/>
      <c r="I40" s="558"/>
      <c r="J40" s="558"/>
      <c r="K40" s="558"/>
      <c r="L40" s="506" t="s">
        <v>40</v>
      </c>
      <c r="M40" s="505"/>
      <c r="N40" s="495"/>
      <c r="O40" s="502"/>
      <c r="P40" s="502"/>
    </row>
    <row r="41" spans="1:16" s="503" customFormat="1" ht="15.75" customHeight="1">
      <c r="A41" s="495"/>
      <c r="B41" s="556" t="s">
        <v>41</v>
      </c>
      <c r="C41" s="557"/>
      <c r="D41" s="557"/>
      <c r="E41" s="557"/>
      <c r="F41" s="557"/>
      <c r="G41" s="557"/>
      <c r="H41" s="557"/>
      <c r="I41" s="557"/>
      <c r="J41" s="557"/>
      <c r="K41" s="557"/>
      <c r="L41" s="505"/>
      <c r="M41" s="502"/>
      <c r="N41" s="495"/>
      <c r="O41" s="495"/>
      <c r="P41" s="502"/>
    </row>
    <row r="42" spans="1:16" s="503" customFormat="1" ht="15" customHeight="1">
      <c r="A42" s="495"/>
      <c r="B42" s="557"/>
      <c r="C42" s="557"/>
      <c r="D42" s="557"/>
      <c r="E42" s="557"/>
      <c r="F42" s="557"/>
      <c r="G42" s="557"/>
      <c r="H42" s="557"/>
      <c r="I42" s="557"/>
      <c r="J42" s="557"/>
      <c r="K42" s="557"/>
      <c r="L42" s="495"/>
      <c r="M42" s="495"/>
      <c r="N42" s="495"/>
      <c r="O42" s="495"/>
      <c r="P42" s="495"/>
    </row>
    <row r="43" spans="1:16" s="503" customFormat="1">
      <c r="A43" s="495"/>
      <c r="B43" s="557"/>
      <c r="C43" s="557"/>
      <c r="D43" s="557"/>
      <c r="E43" s="557"/>
      <c r="F43" s="557"/>
      <c r="G43" s="557"/>
      <c r="H43" s="557"/>
      <c r="I43" s="557"/>
      <c r="J43" s="557"/>
      <c r="K43" s="557"/>
      <c r="L43" s="505"/>
      <c r="M43" s="502"/>
      <c r="N43" s="502"/>
      <c r="O43" s="502"/>
      <c r="P43" s="502"/>
    </row>
    <row r="44" spans="1:16" s="503" customFormat="1" ht="6.75" customHeight="1">
      <c r="A44" s="495"/>
      <c r="B44" s="557"/>
      <c r="C44" s="557"/>
      <c r="D44" s="557"/>
      <c r="E44" s="557"/>
      <c r="F44" s="557"/>
      <c r="G44" s="557"/>
      <c r="H44" s="557"/>
      <c r="I44" s="557"/>
      <c r="J44" s="557"/>
      <c r="K44" s="557"/>
      <c r="L44" s="505"/>
      <c r="M44" s="502"/>
      <c r="N44" s="502"/>
      <c r="O44" s="502"/>
      <c r="P44" s="502"/>
    </row>
    <row r="45" spans="1:16" s="503" customFormat="1">
      <c r="A45" s="495"/>
      <c r="B45" s="557"/>
      <c r="C45" s="557"/>
      <c r="D45" s="557"/>
      <c r="E45" s="557"/>
      <c r="F45" s="557"/>
      <c r="G45" s="557"/>
      <c r="H45" s="557"/>
      <c r="I45" s="557"/>
      <c r="J45" s="557"/>
      <c r="K45" s="557"/>
      <c r="L45" s="505"/>
      <c r="M45" s="495"/>
      <c r="N45" s="495"/>
      <c r="O45" s="495"/>
      <c r="P45" s="495"/>
    </row>
    <row r="46" spans="1:16" s="503" customFormat="1">
      <c r="A46" s="504"/>
      <c r="B46" s="504"/>
      <c r="C46" s="504"/>
      <c r="D46" s="504"/>
      <c r="E46" s="504"/>
      <c r="F46" s="504"/>
      <c r="G46" s="504"/>
      <c r="H46" s="504"/>
      <c r="I46" s="504"/>
      <c r="J46" s="504"/>
      <c r="K46" s="504"/>
      <c r="L46" s="504"/>
      <c r="M46" s="504"/>
      <c r="N46" s="504"/>
      <c r="O46" s="504"/>
      <c r="P46" s="504"/>
    </row>
  </sheetData>
  <sheetProtection algorithmName="SHA-512" hashValue="OWUmJJW7FjO27d4idj9LhqGapFFVCsV7z5t7OY7F/H97Cisuu7YfwEdeZAumX8yK+E327wJzZWGoYZ+IHcqrvw==" saltValue="sWv0mbTDh7aqtmZ6vEZQ4g==" spinCount="100000" sheet="1" objects="1" scenarios="1" selectLockedCells="1"/>
  <mergeCells count="20">
    <mergeCell ref="A29:D29"/>
    <mergeCell ref="C12:E12"/>
    <mergeCell ref="L26:L27"/>
    <mergeCell ref="L28:N31"/>
    <mergeCell ref="B41:K45"/>
    <mergeCell ref="B40:K40"/>
    <mergeCell ref="M5:N5"/>
    <mergeCell ref="O5:P6"/>
    <mergeCell ref="B37:D37"/>
    <mergeCell ref="A35:D35"/>
    <mergeCell ref="A27:D27"/>
    <mergeCell ref="B22:D22"/>
    <mergeCell ref="A24:D25"/>
    <mergeCell ref="L32:N35"/>
    <mergeCell ref="A33:D33"/>
    <mergeCell ref="H16:I16"/>
    <mergeCell ref="A31:D31"/>
    <mergeCell ref="A9:B9"/>
    <mergeCell ref="E13:E15"/>
    <mergeCell ref="A26:D26"/>
  </mergeCells>
  <conditionalFormatting sqref="D17">
    <cfRule type="colorScale" priority="26">
      <colorScale>
        <cfvo type="min"/>
        <cfvo type="num" val="12"/>
        <color theme="0"/>
        <color theme="0"/>
      </colorScale>
    </cfRule>
    <cfRule type="colorScale" priority="27">
      <colorScale>
        <cfvo type="num" val="0"/>
        <cfvo type="max"/>
        <color theme="0"/>
        <color theme="0"/>
      </colorScale>
    </cfRule>
  </conditionalFormatting>
  <conditionalFormatting sqref="D18">
    <cfRule type="colorScale" priority="10">
      <colorScale>
        <cfvo type="min"/>
        <cfvo type="num" val="12"/>
        <color theme="0"/>
        <color theme="0"/>
      </colorScale>
    </cfRule>
    <cfRule type="colorScale" priority="11">
      <colorScale>
        <cfvo type="num" val="0"/>
        <cfvo type="max"/>
        <color theme="0"/>
        <color theme="0"/>
      </colorScale>
    </cfRule>
  </conditionalFormatting>
  <conditionalFormatting sqref="D19">
    <cfRule type="colorScale" priority="18">
      <colorScale>
        <cfvo type="min"/>
        <cfvo type="num" val="12"/>
        <color theme="0"/>
        <color theme="0"/>
      </colorScale>
    </cfRule>
    <cfRule type="colorScale" priority="19">
      <colorScale>
        <cfvo type="num" val="0"/>
        <cfvo type="max"/>
        <color theme="0"/>
        <color theme="0"/>
      </colorScale>
    </cfRule>
  </conditionalFormatting>
  <conditionalFormatting sqref="E17">
    <cfRule type="colorScale" priority="24">
      <colorScale>
        <cfvo type="min"/>
        <cfvo type="num" val="12"/>
        <color theme="0"/>
        <color theme="0"/>
      </colorScale>
    </cfRule>
    <cfRule type="colorScale" priority="25">
      <colorScale>
        <cfvo type="num" val="0"/>
        <cfvo type="max"/>
        <color theme="0"/>
        <color theme="0"/>
      </colorScale>
    </cfRule>
  </conditionalFormatting>
  <conditionalFormatting sqref="E18">
    <cfRule type="colorScale" priority="8">
      <colorScale>
        <cfvo type="min"/>
        <cfvo type="num" val="12"/>
        <color theme="0"/>
        <color theme="0"/>
      </colorScale>
    </cfRule>
    <cfRule type="colorScale" priority="9">
      <colorScale>
        <cfvo type="num" val="0"/>
        <cfvo type="max"/>
        <color theme="0"/>
        <color theme="0"/>
      </colorScale>
    </cfRule>
  </conditionalFormatting>
  <conditionalFormatting sqref="E19">
    <cfRule type="colorScale" priority="16">
      <colorScale>
        <cfvo type="min"/>
        <cfvo type="num" val="12"/>
        <color theme="0"/>
        <color theme="0"/>
      </colorScale>
    </cfRule>
    <cfRule type="colorScale" priority="17">
      <colorScale>
        <cfvo type="num" val="0"/>
        <cfvo type="max"/>
        <color theme="0"/>
        <color theme="0"/>
      </colorScale>
    </cfRule>
  </conditionalFormatting>
  <conditionalFormatting sqref="E23">
    <cfRule type="colorScale" priority="28">
      <colorScale>
        <cfvo type="min"/>
        <cfvo type="num" val="12"/>
        <color theme="0"/>
        <color theme="0"/>
      </colorScale>
    </cfRule>
    <cfRule type="colorScale" priority="29">
      <colorScale>
        <cfvo type="num" val="0"/>
        <cfvo type="max"/>
        <color theme="0"/>
        <color theme="0"/>
      </colorScale>
    </cfRule>
  </conditionalFormatting>
  <conditionalFormatting sqref="F17">
    <cfRule type="colorScale" priority="22">
      <colorScale>
        <cfvo type="min"/>
        <cfvo type="num" val="12"/>
        <color theme="0"/>
        <color theme="0"/>
      </colorScale>
    </cfRule>
    <cfRule type="colorScale" priority="23">
      <colorScale>
        <cfvo type="num" val="0"/>
        <cfvo type="max"/>
        <color theme="0"/>
        <color theme="0"/>
      </colorScale>
    </cfRule>
  </conditionalFormatting>
  <conditionalFormatting sqref="F18">
    <cfRule type="colorScale" priority="6">
      <colorScale>
        <cfvo type="min"/>
        <cfvo type="num" val="12"/>
        <color theme="0"/>
        <color theme="0"/>
      </colorScale>
    </cfRule>
    <cfRule type="colorScale" priority="7">
      <colorScale>
        <cfvo type="num" val="0"/>
        <cfvo type="max"/>
        <color theme="0"/>
        <color theme="0"/>
      </colorScale>
    </cfRule>
  </conditionalFormatting>
  <conditionalFormatting sqref="F19">
    <cfRule type="colorScale" priority="14">
      <colorScale>
        <cfvo type="min"/>
        <cfvo type="num" val="12"/>
        <color theme="0"/>
        <color theme="0"/>
      </colorScale>
    </cfRule>
    <cfRule type="colorScale" priority="15">
      <colorScale>
        <cfvo type="num" val="0"/>
        <cfvo type="max"/>
        <color theme="0"/>
        <color theme="0"/>
      </colorScale>
    </cfRule>
  </conditionalFormatting>
  <conditionalFormatting sqref="G17">
    <cfRule type="colorScale" priority="20">
      <colorScale>
        <cfvo type="min"/>
        <cfvo type="num" val="12"/>
        <color theme="0"/>
        <color theme="0"/>
      </colorScale>
    </cfRule>
    <cfRule type="colorScale" priority="21">
      <colorScale>
        <cfvo type="num" val="0"/>
        <cfvo type="max"/>
        <color theme="0"/>
        <color theme="0"/>
      </colorScale>
    </cfRule>
  </conditionalFormatting>
  <conditionalFormatting sqref="G18">
    <cfRule type="colorScale" priority="4">
      <colorScale>
        <cfvo type="min"/>
        <cfvo type="num" val="12"/>
        <color theme="0"/>
        <color theme="0"/>
      </colorScale>
    </cfRule>
    <cfRule type="colorScale" priority="5">
      <colorScale>
        <cfvo type="num" val="0"/>
        <cfvo type="max"/>
        <color theme="0"/>
        <color theme="0"/>
      </colorScale>
    </cfRule>
  </conditionalFormatting>
  <conditionalFormatting sqref="G19">
    <cfRule type="colorScale" priority="12">
      <colorScale>
        <cfvo type="min"/>
        <cfvo type="num" val="12"/>
        <color theme="0"/>
        <color theme="0"/>
      </colorScale>
    </cfRule>
    <cfRule type="colorScale" priority="13">
      <colorScale>
        <cfvo type="num" val="0"/>
        <cfvo type="max"/>
        <color theme="0"/>
        <color theme="0"/>
      </colorScale>
    </cfRule>
  </conditionalFormatting>
  <dataValidations count="3">
    <dataValidation type="decimal" operator="lessThanOrEqual" allowBlank="1" showInputMessage="1" showErrorMessage="1" sqref="E26" xr:uid="{00000000-0002-0000-0000-000000000000}">
      <formula1>0.35</formula1>
    </dataValidation>
    <dataValidation type="list" allowBlank="1" showInputMessage="1" showErrorMessage="1" sqref="F14" xr:uid="{00000000-0002-0000-0000-000001000000}">
      <formula1>Hovedtreslag</formula1>
    </dataValidation>
    <dataValidation type="list" allowBlank="1" showInputMessage="1" showErrorMessage="1" sqref="H14" xr:uid="{00000000-0002-0000-0000-000002000000}">
      <formula1>Bonitet</formula1>
    </dataValidation>
  </dataValidations>
  <pageMargins left="0.31496062992125984" right="0.23622047244094491" top="0.39370078740157483" bottom="0.31496062992125984" header="0.31496062992125984" footer="0.31496062992125984"/>
  <pageSetup paperSize="9" scale="6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747E6B05-5E1C-427F-8867-E26F1A8E393D}">
            <x14:iconSet iconSet="3Symbols" custom="1">
              <x14:cfvo type="percent">
                <xm:f>0</xm:f>
              </x14:cfvo>
              <x14:cfvo type="num">
                <xm:f>0</xm:f>
              </x14:cfvo>
              <x14:cfvo type="num">
                <xm:f>0.36</xm:f>
              </x14:cfvo>
              <x14:cfIcon iconSet="3Symbols" iconId="0"/>
              <x14:cfIcon iconSet="3Symbols" iconId="2"/>
              <x14:cfIcon iconSet="3Symbols" iconId="0"/>
            </x14:iconSet>
          </x14:cfRule>
          <xm:sqref>E26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126"/>
  <sheetViews>
    <sheetView showRowColHeaders="0" zoomScale="95" zoomScaleNormal="95" workbookViewId="0">
      <pane ySplit="4" topLeftCell="A8" activePane="bottomLeft" state="frozen"/>
      <selection pane="bottomLeft" activeCell="H14" sqref="H14"/>
      <selection activeCell="H14" sqref="H14"/>
    </sheetView>
  </sheetViews>
  <sheetFormatPr defaultColWidth="11.42578125" defaultRowHeight="15"/>
  <cols>
    <col min="1" max="1" width="7" customWidth="1"/>
    <col min="2" max="2" width="49.7109375" customWidth="1"/>
    <col min="3" max="3" width="7.7109375" customWidth="1"/>
    <col min="5" max="5" width="10.7109375" customWidth="1"/>
    <col min="6" max="6" width="2.28515625" customWidth="1"/>
    <col min="7" max="7" width="2.28515625" style="14" customWidth="1"/>
    <col min="8" max="8" width="7" customWidth="1"/>
    <col min="9" max="9" width="34.140625" customWidth="1"/>
    <col min="10" max="10" width="7.28515625" customWidth="1"/>
    <col min="13" max="13" width="2.28515625" customWidth="1"/>
    <col min="14" max="14" width="2.7109375" style="14" customWidth="1"/>
    <col min="15" max="15" width="7" style="23" customWidth="1"/>
    <col min="16" max="16" width="34.140625" style="23" customWidth="1"/>
    <col min="17" max="17" width="7.28515625" style="23" customWidth="1"/>
    <col min="18" max="19" width="11.28515625" style="23"/>
    <col min="20" max="20" width="2.7109375" style="23" customWidth="1"/>
    <col min="21" max="28" width="11.28515625" style="23"/>
  </cols>
  <sheetData>
    <row r="1" spans="1:38" s="301" customFormat="1" ht="13.7" customHeight="1"/>
    <row r="2" spans="1:38" s="301" customFormat="1" ht="13.7" customHeight="1"/>
    <row r="3" spans="1:38" s="301" customFormat="1" ht="13.7" customHeight="1"/>
    <row r="4" spans="1:38" s="23" customFormat="1" ht="42" customHeight="1">
      <c r="A4" s="310" t="s">
        <v>180</v>
      </c>
      <c r="AL4"/>
    </row>
    <row r="5" spans="1:38" s="23" customFormat="1" ht="30" customHeight="1" thickBot="1"/>
    <row r="6" spans="1:38" ht="46.15" customHeight="1">
      <c r="A6" s="274" t="s">
        <v>181</v>
      </c>
      <c r="B6" s="275" t="s">
        <v>182</v>
      </c>
      <c r="C6" s="96"/>
      <c r="D6" s="96"/>
      <c r="E6" s="96"/>
      <c r="F6" s="97"/>
      <c r="G6" s="133"/>
      <c r="H6" s="273" t="s">
        <v>183</v>
      </c>
      <c r="I6" s="652" t="s">
        <v>184</v>
      </c>
      <c r="J6" s="652"/>
      <c r="K6" s="652"/>
      <c r="L6" s="652"/>
      <c r="M6" s="653"/>
      <c r="N6" s="133"/>
      <c r="O6" s="274" t="s">
        <v>185</v>
      </c>
      <c r="P6" s="276" t="s">
        <v>186</v>
      </c>
      <c r="Q6" s="277"/>
      <c r="R6" s="278"/>
      <c r="S6" s="278"/>
      <c r="T6" s="105"/>
    </row>
    <row r="7" spans="1:38" ht="23.25">
      <c r="A7" s="98"/>
      <c r="B7" s="49"/>
      <c r="C7" s="48"/>
      <c r="D7" s="49"/>
      <c r="E7" s="49"/>
      <c r="F7" s="50"/>
      <c r="H7" s="98"/>
      <c r="I7" s="49"/>
      <c r="J7" s="48"/>
      <c r="K7" s="49"/>
      <c r="L7" s="49"/>
      <c r="M7" s="50"/>
      <c r="O7" s="106"/>
      <c r="P7" s="107"/>
      <c r="Q7" s="49"/>
      <c r="R7" s="99" t="s">
        <v>187</v>
      </c>
      <c r="S7" s="49"/>
      <c r="T7" s="50"/>
    </row>
    <row r="8" spans="1:38" ht="21">
      <c r="A8" s="98"/>
      <c r="B8" s="48"/>
      <c r="C8" s="48"/>
      <c r="D8" s="99" t="s">
        <v>187</v>
      </c>
      <c r="E8" s="100"/>
      <c r="F8" s="50"/>
      <c r="H8" s="98"/>
      <c r="I8" s="49"/>
      <c r="J8" s="48"/>
      <c r="K8" s="99" t="s">
        <v>187</v>
      </c>
      <c r="L8" s="49"/>
      <c r="M8" s="50"/>
      <c r="O8" s="51"/>
      <c r="P8" s="52"/>
      <c r="Q8" s="52"/>
      <c r="R8" s="49"/>
      <c r="S8" s="49"/>
      <c r="T8" s="108"/>
    </row>
    <row r="9" spans="1:38" ht="15.75">
      <c r="A9" s="98"/>
      <c r="B9" s="100"/>
      <c r="C9" s="48"/>
      <c r="D9" s="49"/>
      <c r="E9" s="49"/>
      <c r="F9" s="50"/>
      <c r="H9" s="101"/>
      <c r="I9" s="49"/>
      <c r="J9" s="49"/>
      <c r="K9" s="49"/>
      <c r="L9" s="49"/>
      <c r="M9" s="50"/>
      <c r="O9" s="132" t="s">
        <v>115</v>
      </c>
      <c r="P9" s="117" t="s">
        <v>188</v>
      </c>
      <c r="Q9" s="93">
        <f>C21/C20</f>
        <v>0.10290003787456835</v>
      </c>
      <c r="R9" s="93" t="s">
        <v>117</v>
      </c>
      <c r="S9" s="93"/>
      <c r="T9" s="111"/>
    </row>
    <row r="10" spans="1:38" ht="15.75">
      <c r="A10" s="98"/>
      <c r="B10" s="100"/>
      <c r="C10" s="100"/>
      <c r="D10" s="100"/>
      <c r="E10" s="100"/>
      <c r="F10" s="50"/>
      <c r="H10" s="101"/>
      <c r="I10" s="49"/>
      <c r="J10" s="49"/>
      <c r="K10" s="49"/>
      <c r="L10" s="49"/>
      <c r="M10" s="50"/>
      <c r="O10" s="114"/>
      <c r="P10" s="117"/>
      <c r="Q10" s="93"/>
      <c r="R10" s="115"/>
      <c r="S10" s="93"/>
      <c r="T10" s="111"/>
    </row>
    <row r="11" spans="1:38" ht="19.5" thickBot="1">
      <c r="A11" s="109"/>
      <c r="B11" s="112"/>
      <c r="C11" s="112"/>
      <c r="D11" s="112"/>
      <c r="E11" s="112"/>
      <c r="F11" s="111"/>
      <c r="H11" s="101"/>
      <c r="I11" s="49"/>
      <c r="J11" s="49"/>
      <c r="K11" s="49"/>
      <c r="L11" s="49"/>
      <c r="M11" s="50"/>
      <c r="O11" s="114"/>
      <c r="P11" s="119" t="s">
        <v>189</v>
      </c>
      <c r="Q11" s="135">
        <f>IF(Q9&lt;0.5,0.05-Q9,0.05-0.5)</f>
        <v>-5.2900037874568345E-2</v>
      </c>
      <c r="R11" s="91" t="s">
        <v>190</v>
      </c>
      <c r="S11" s="92"/>
      <c r="T11" s="111"/>
    </row>
    <row r="12" spans="1:38" ht="16.5" thickBot="1">
      <c r="A12" s="109"/>
      <c r="B12" s="112"/>
      <c r="C12" s="112"/>
      <c r="D12" s="112"/>
      <c r="E12" s="112"/>
      <c r="F12" s="111"/>
      <c r="H12" s="116" t="s">
        <v>191</v>
      </c>
      <c r="I12" s="117" t="s">
        <v>192</v>
      </c>
      <c r="J12" s="315">
        <v>200</v>
      </c>
      <c r="K12" s="115" t="s">
        <v>193</v>
      </c>
      <c r="L12" s="115"/>
      <c r="M12" s="111"/>
      <c r="O12" s="113"/>
      <c r="P12" s="93"/>
      <c r="Q12" s="93"/>
      <c r="R12" s="93"/>
      <c r="S12" s="93"/>
      <c r="T12" s="111"/>
    </row>
    <row r="13" spans="1:38" ht="19.5" thickBot="1">
      <c r="A13" s="109"/>
      <c r="B13" s="112"/>
      <c r="C13" s="112"/>
      <c r="D13" s="112"/>
      <c r="E13" s="112"/>
      <c r="F13" s="111"/>
      <c r="H13" s="116" t="s">
        <v>136</v>
      </c>
      <c r="I13" s="93" t="s">
        <v>194</v>
      </c>
      <c r="J13" s="93">
        <f>'HOGSTMASKIN (G0)'!C19</f>
        <v>2</v>
      </c>
      <c r="K13" s="115" t="s">
        <v>195</v>
      </c>
      <c r="L13" s="93"/>
      <c r="M13" s="111"/>
      <c r="O13" s="113"/>
      <c r="P13" s="119" t="s">
        <v>196</v>
      </c>
      <c r="Q13" s="136">
        <f>((Q11*100)*0.6)*($C$21/$C$20)</f>
        <v>-0.32660495405155093</v>
      </c>
      <c r="R13" s="59" t="s">
        <v>197</v>
      </c>
      <c r="S13" s="60"/>
      <c r="T13" s="111"/>
    </row>
    <row r="14" spans="1:38" ht="16.5" thickBot="1">
      <c r="A14" s="109"/>
      <c r="B14" s="112"/>
      <c r="C14" s="112"/>
      <c r="D14" s="112"/>
      <c r="E14" s="112"/>
      <c r="F14" s="111"/>
      <c r="H14" s="116" t="s">
        <v>198</v>
      </c>
      <c r="I14" s="93" t="s">
        <v>199</v>
      </c>
      <c r="J14" s="93">
        <f>'HOGSTMASKIN (G0)'!C20</f>
        <v>2</v>
      </c>
      <c r="K14" s="115" t="s">
        <v>195</v>
      </c>
      <c r="L14" s="93"/>
      <c r="M14" s="111"/>
      <c r="O14" s="120"/>
      <c r="P14" s="128"/>
      <c r="Q14" s="121"/>
      <c r="R14" s="121"/>
      <c r="S14" s="121"/>
      <c r="T14" s="127"/>
    </row>
    <row r="15" spans="1:38" ht="15.75" thickBot="1">
      <c r="A15" s="113"/>
      <c r="B15" s="93"/>
      <c r="C15" s="93"/>
      <c r="D15" s="93"/>
      <c r="E15" s="93"/>
      <c r="F15" s="111"/>
      <c r="H15" s="116" t="s">
        <v>145</v>
      </c>
      <c r="I15" s="117" t="s">
        <v>200</v>
      </c>
      <c r="J15" s="93">
        <f>75-(8.2*J13)-(1.4*(J14*J14))</f>
        <v>53</v>
      </c>
      <c r="K15" s="93" t="s">
        <v>201</v>
      </c>
      <c r="L15" s="93"/>
      <c r="M15" s="111"/>
    </row>
    <row r="16" spans="1:38" ht="24" thickBot="1">
      <c r="A16" s="113"/>
      <c r="B16" s="93"/>
      <c r="C16" s="651"/>
      <c r="D16" s="651"/>
      <c r="E16" s="93"/>
      <c r="F16" s="111"/>
      <c r="H16" s="116" t="s">
        <v>141</v>
      </c>
      <c r="I16" s="131" t="s">
        <v>202</v>
      </c>
      <c r="J16" s="315">
        <v>12</v>
      </c>
      <c r="K16" s="93" t="s">
        <v>203</v>
      </c>
      <c r="L16" s="93"/>
      <c r="M16" s="111"/>
      <c r="O16" s="94" t="s">
        <v>204</v>
      </c>
      <c r="P16" s="102" t="s">
        <v>205</v>
      </c>
      <c r="Q16" s="103"/>
      <c r="R16" s="104"/>
      <c r="S16" s="104"/>
      <c r="T16" s="105"/>
    </row>
    <row r="17" spans="1:28" ht="15.75" customHeight="1">
      <c r="A17" s="109"/>
      <c r="B17" s="112"/>
      <c r="C17" s="110"/>
      <c r="D17" s="93"/>
      <c r="E17" s="93"/>
      <c r="F17" s="111"/>
      <c r="H17" s="118"/>
      <c r="I17" s="93"/>
      <c r="J17" s="93"/>
      <c r="K17" s="93"/>
      <c r="L17" s="93"/>
      <c r="M17" s="111"/>
      <c r="O17" s="137" t="s">
        <v>206</v>
      </c>
      <c r="P17" s="52"/>
      <c r="Q17" s="52"/>
      <c r="R17" s="52"/>
      <c r="S17" s="52"/>
      <c r="T17" s="50"/>
    </row>
    <row r="18" spans="1:28" ht="19.5" customHeight="1" thickBot="1">
      <c r="A18" s="116" t="s">
        <v>207</v>
      </c>
      <c r="B18" s="117" t="s">
        <v>208</v>
      </c>
      <c r="C18" s="93">
        <v>1.4</v>
      </c>
      <c r="D18" s="490" t="s">
        <v>112</v>
      </c>
      <c r="E18" s="93"/>
      <c r="F18" s="111"/>
      <c r="H18" s="123"/>
      <c r="I18" s="119" t="s">
        <v>189</v>
      </c>
      <c r="J18" s="90">
        <f>(2*J12)/(J15*J16)</f>
        <v>0.62893081761006286</v>
      </c>
      <c r="K18" s="91" t="s">
        <v>190</v>
      </c>
      <c r="L18" s="92"/>
      <c r="M18" s="111"/>
      <c r="O18" s="106"/>
      <c r="P18" s="107"/>
      <c r="Q18" s="49"/>
      <c r="R18" s="99" t="s">
        <v>187</v>
      </c>
      <c r="S18" s="49"/>
      <c r="T18" s="50"/>
    </row>
    <row r="19" spans="1:28" s="1" customFormat="1" ht="15.75" customHeight="1" thickBot="1">
      <c r="A19" s="116" t="s">
        <v>209</v>
      </c>
      <c r="B19" s="117" t="s">
        <v>210</v>
      </c>
      <c r="C19" s="316">
        <v>0.67</v>
      </c>
      <c r="D19" s="93" t="s">
        <v>211</v>
      </c>
      <c r="E19" s="93"/>
      <c r="F19" s="111"/>
      <c r="G19" s="14"/>
      <c r="H19" s="113"/>
      <c r="I19" s="93"/>
      <c r="J19" s="93"/>
      <c r="K19" s="93"/>
      <c r="L19" s="93"/>
      <c r="M19" s="111"/>
      <c r="N19" s="14"/>
      <c r="O19" s="51"/>
      <c r="P19" s="52"/>
      <c r="Q19" s="52"/>
      <c r="R19" s="49"/>
      <c r="S19" s="49"/>
      <c r="T19" s="108"/>
      <c r="U19" s="82"/>
      <c r="V19" s="82"/>
      <c r="W19" s="82"/>
      <c r="X19" s="82"/>
      <c r="Y19" s="82"/>
      <c r="Z19" s="82"/>
      <c r="AA19" s="82"/>
      <c r="AB19" s="82"/>
    </row>
    <row r="20" spans="1:28" ht="19.5" thickBot="1">
      <c r="A20" s="116" t="s">
        <v>212</v>
      </c>
      <c r="B20" s="93" t="s">
        <v>213</v>
      </c>
      <c r="C20" s="131">
        <f>'HOGSTMASKIN (G0)'!C18</f>
        <v>89.769999999999982</v>
      </c>
      <c r="D20" s="93" t="s">
        <v>140</v>
      </c>
      <c r="E20" s="93"/>
      <c r="F20" s="111"/>
      <c r="H20" s="113"/>
      <c r="I20" s="119" t="s">
        <v>196</v>
      </c>
      <c r="J20" s="136">
        <f>((J18*100)*0.6)*($C$21/$C$20)</f>
        <v>3.8830202971535219</v>
      </c>
      <c r="K20" s="59" t="s">
        <v>197</v>
      </c>
      <c r="L20" s="60"/>
      <c r="M20" s="111"/>
      <c r="O20" s="132" t="s">
        <v>124</v>
      </c>
      <c r="P20" s="117" t="s">
        <v>214</v>
      </c>
      <c r="Q20" s="315">
        <v>4</v>
      </c>
      <c r="R20" s="93" t="s">
        <v>215</v>
      </c>
      <c r="S20" s="93"/>
      <c r="T20" s="111"/>
    </row>
    <row r="21" spans="1:28" s="1" customFormat="1" ht="18" customHeight="1" thickBot="1">
      <c r="A21" s="116" t="s">
        <v>216</v>
      </c>
      <c r="B21" s="93" t="s">
        <v>217</v>
      </c>
      <c r="C21" s="93">
        <f>'HOGSTMASKIN (G0)'!C22</f>
        <v>9.2373363999999984</v>
      </c>
      <c r="D21" s="93" t="s">
        <v>218</v>
      </c>
      <c r="E21" s="93"/>
      <c r="F21" s="111"/>
      <c r="G21" s="14"/>
      <c r="H21" s="124"/>
      <c r="I21" s="125"/>
      <c r="J21" s="125"/>
      <c r="K21" s="125"/>
      <c r="L21" s="125"/>
      <c r="M21" s="126"/>
      <c r="N21" s="14"/>
      <c r="O21" s="114"/>
      <c r="P21" s="117"/>
      <c r="Q21" s="93"/>
      <c r="R21" s="115"/>
      <c r="S21" s="93"/>
      <c r="T21" s="111"/>
      <c r="U21" s="82"/>
      <c r="V21" s="82"/>
      <c r="W21" s="82"/>
      <c r="X21" s="82"/>
      <c r="Y21" s="82"/>
      <c r="Z21" s="82"/>
      <c r="AA21" s="82"/>
      <c r="AB21" s="82"/>
    </row>
    <row r="22" spans="1:28" ht="19.5" customHeight="1" thickBot="1">
      <c r="A22" s="118" t="s">
        <v>219</v>
      </c>
      <c r="B22" s="93" t="s">
        <v>220</v>
      </c>
      <c r="C22" s="316">
        <v>-43</v>
      </c>
      <c r="D22" s="115"/>
      <c r="E22" s="115"/>
      <c r="F22" s="111"/>
      <c r="H22" s="23"/>
      <c r="I22" s="23"/>
      <c r="J22" s="23"/>
      <c r="K22" s="23"/>
      <c r="L22" s="23"/>
      <c r="M22" s="23"/>
      <c r="O22" s="114"/>
      <c r="P22" s="119" t="s">
        <v>189</v>
      </c>
      <c r="Q22" s="135">
        <f>-0.1+0.1*Q20</f>
        <v>0.30000000000000004</v>
      </c>
      <c r="R22" s="91" t="s">
        <v>190</v>
      </c>
      <c r="S22" s="92"/>
      <c r="T22" s="111"/>
    </row>
    <row r="23" spans="1:28" s="1" customFormat="1" ht="20.25" customHeight="1" thickBot="1">
      <c r="A23" s="118" t="s">
        <v>221</v>
      </c>
      <c r="B23" s="93" t="s">
        <v>220</v>
      </c>
      <c r="C23" s="316">
        <v>25.9</v>
      </c>
      <c r="D23" s="115"/>
      <c r="E23" s="115"/>
      <c r="F23" s="111"/>
      <c r="G23" s="14"/>
      <c r="H23" s="94" t="s">
        <v>222</v>
      </c>
      <c r="I23" s="95" t="s">
        <v>223</v>
      </c>
      <c r="J23" s="96"/>
      <c r="K23" s="96"/>
      <c r="L23" s="96"/>
      <c r="M23" s="97"/>
      <c r="N23" s="14"/>
      <c r="O23" s="113"/>
      <c r="P23" s="93"/>
      <c r="Q23" s="93"/>
      <c r="R23" s="93"/>
      <c r="S23" s="93"/>
      <c r="T23" s="111"/>
      <c r="U23" s="82"/>
      <c r="V23" s="82"/>
      <c r="W23" s="82"/>
      <c r="X23" s="82"/>
      <c r="Y23" s="82"/>
      <c r="Z23" s="82"/>
      <c r="AA23" s="82"/>
      <c r="AB23" s="82"/>
    </row>
    <row r="24" spans="1:28" ht="19.5" thickBot="1">
      <c r="A24" s="114"/>
      <c r="B24" s="93"/>
      <c r="C24" s="93"/>
      <c r="D24" s="93"/>
      <c r="E24" s="93"/>
      <c r="F24" s="111"/>
      <c r="H24" s="98"/>
      <c r="I24" s="49"/>
      <c r="J24" s="48"/>
      <c r="K24" s="49"/>
      <c r="L24" s="49"/>
      <c r="M24" s="50"/>
      <c r="O24" s="113"/>
      <c r="P24" s="119" t="s">
        <v>196</v>
      </c>
      <c r="Q24" s="136">
        <f>((Q22*100)*0.6)*($C$21/$C$20)</f>
        <v>1.8522006817422303</v>
      </c>
      <c r="R24" s="59" t="s">
        <v>197</v>
      </c>
      <c r="S24" s="60"/>
      <c r="T24" s="111"/>
    </row>
    <row r="25" spans="1:28" s="1" customFormat="1" ht="18" customHeight="1" thickBot="1">
      <c r="A25" s="114"/>
      <c r="B25" s="119" t="s">
        <v>189</v>
      </c>
      <c r="C25" s="90">
        <f>C18*(C22+(C19*C21*10)+(C23*SQRT(C21*10)))/(C21*10)</f>
        <v>4.0590156409743594</v>
      </c>
      <c r="D25" s="91" t="s">
        <v>190</v>
      </c>
      <c r="E25" s="92"/>
      <c r="F25" s="111"/>
      <c r="G25" s="14"/>
      <c r="H25" s="98"/>
      <c r="I25" s="49"/>
      <c r="J25" s="48"/>
      <c r="K25" s="99" t="s">
        <v>187</v>
      </c>
      <c r="L25" s="49"/>
      <c r="M25" s="50"/>
      <c r="N25" s="14"/>
      <c r="O25" s="120"/>
      <c r="P25" s="128"/>
      <c r="Q25" s="121"/>
      <c r="R25" s="121"/>
      <c r="S25" s="121"/>
      <c r="T25" s="127"/>
      <c r="U25" s="82"/>
      <c r="V25" s="82"/>
      <c r="W25" s="82"/>
      <c r="X25" s="82"/>
      <c r="Y25" s="82"/>
      <c r="Z25" s="82"/>
      <c r="AA25" s="82"/>
      <c r="AB25" s="82"/>
    </row>
    <row r="26" spans="1:28" ht="18.95" customHeight="1" thickBot="1">
      <c r="A26" s="113"/>
      <c r="B26" s="93"/>
      <c r="C26" s="93"/>
      <c r="D26" s="93"/>
      <c r="E26" s="93"/>
      <c r="F26" s="111"/>
      <c r="H26" s="101"/>
      <c r="I26" s="49"/>
      <c r="J26" s="49"/>
      <c r="K26" s="49"/>
      <c r="L26" s="49"/>
      <c r="M26" s="50"/>
      <c r="O26" s="82"/>
      <c r="P26" s="82"/>
      <c r="Q26" s="82"/>
      <c r="R26" s="82"/>
      <c r="S26" s="82"/>
      <c r="T26" s="82"/>
    </row>
    <row r="27" spans="1:28" s="1" customFormat="1" ht="18.95" customHeight="1" thickBot="1">
      <c r="A27" s="113"/>
      <c r="B27" s="119" t="s">
        <v>196</v>
      </c>
      <c r="C27" s="136">
        <f>((C25*100)*0.6)*($C$21/$C$20)</f>
        <v>25.060371791383613</v>
      </c>
      <c r="D27" s="59" t="s">
        <v>197</v>
      </c>
      <c r="E27" s="60"/>
      <c r="F27" s="111"/>
      <c r="G27" s="15"/>
      <c r="H27" s="101"/>
      <c r="I27" s="49"/>
      <c r="J27" s="49"/>
      <c r="K27" s="49"/>
      <c r="L27" s="49"/>
      <c r="M27" s="50"/>
      <c r="N27" s="15"/>
      <c r="O27" s="273" t="s">
        <v>224</v>
      </c>
      <c r="P27" s="318" t="s">
        <v>131</v>
      </c>
      <c r="Q27" s="103"/>
      <c r="R27" s="104"/>
      <c r="S27" s="104"/>
      <c r="T27" s="105"/>
      <c r="U27" s="82"/>
      <c r="V27" s="82"/>
      <c r="W27" s="82"/>
      <c r="X27" s="82"/>
      <c r="Y27" s="82"/>
      <c r="Z27" s="82"/>
      <c r="AA27" s="82"/>
      <c r="AB27" s="82"/>
    </row>
    <row r="28" spans="1:28" ht="24" thickBot="1">
      <c r="A28" s="120"/>
      <c r="B28" s="121"/>
      <c r="C28" s="121"/>
      <c r="D28" s="121"/>
      <c r="E28" s="121"/>
      <c r="F28" s="122"/>
      <c r="H28" s="101"/>
      <c r="I28" s="49"/>
      <c r="J28" s="49"/>
      <c r="K28" s="49"/>
      <c r="L28" s="49"/>
      <c r="M28" s="50"/>
      <c r="O28" s="106"/>
      <c r="P28" s="107"/>
      <c r="Q28" s="49"/>
      <c r="R28" s="99" t="s">
        <v>187</v>
      </c>
      <c r="S28" s="49"/>
      <c r="T28" s="50"/>
    </row>
    <row r="29" spans="1:28" ht="15.75" thickBot="1">
      <c r="A29" s="81"/>
      <c r="B29" s="81"/>
      <c r="C29" s="81"/>
      <c r="D29" s="81"/>
      <c r="E29" s="81"/>
      <c r="F29" s="81"/>
      <c r="H29" s="116" t="s">
        <v>191</v>
      </c>
      <c r="I29" s="117" t="s">
        <v>192</v>
      </c>
      <c r="J29" s="315">
        <v>0</v>
      </c>
      <c r="K29" s="115" t="s">
        <v>193</v>
      </c>
      <c r="L29" s="115"/>
      <c r="M29" s="111"/>
      <c r="O29" s="51"/>
      <c r="P29" s="52"/>
      <c r="Q29" s="52"/>
      <c r="R29" s="49"/>
      <c r="S29" s="49"/>
      <c r="T29" s="108"/>
    </row>
    <row r="30" spans="1:28" ht="15.75" thickBot="1">
      <c r="A30" s="23"/>
      <c r="B30" s="23"/>
      <c r="C30" s="23"/>
      <c r="D30" s="23"/>
      <c r="E30" s="23"/>
      <c r="F30" s="23"/>
      <c r="H30" s="116" t="s">
        <v>136</v>
      </c>
      <c r="I30" s="93" t="s">
        <v>194</v>
      </c>
      <c r="J30" s="313">
        <v>2</v>
      </c>
      <c r="K30" s="317" t="s">
        <v>138</v>
      </c>
      <c r="L30" s="93"/>
      <c r="M30" s="111"/>
      <c r="O30" s="132" t="s">
        <v>141</v>
      </c>
      <c r="P30" s="117" t="s">
        <v>202</v>
      </c>
      <c r="Q30" s="93">
        <f>J16</f>
        <v>12</v>
      </c>
      <c r="R30" s="93" t="s">
        <v>117</v>
      </c>
      <c r="S30" s="93"/>
      <c r="T30" s="111"/>
    </row>
    <row r="31" spans="1:28" ht="15.75" thickBot="1">
      <c r="A31" s="23"/>
      <c r="B31" s="138"/>
      <c r="C31" s="23"/>
      <c r="D31" s="23"/>
      <c r="E31" s="23"/>
      <c r="F31" s="23"/>
      <c r="H31" s="116" t="s">
        <v>198</v>
      </c>
      <c r="I31" s="93" t="s">
        <v>199</v>
      </c>
      <c r="J31" s="313">
        <v>2</v>
      </c>
      <c r="K31" s="115" t="s">
        <v>138</v>
      </c>
      <c r="L31" s="93"/>
      <c r="M31" s="111"/>
      <c r="O31" s="114"/>
      <c r="P31" s="117"/>
      <c r="Q31" s="93"/>
      <c r="R31" s="115"/>
      <c r="S31" s="93"/>
      <c r="T31" s="111"/>
    </row>
    <row r="32" spans="1:28" s="23" customFormat="1" ht="18.75">
      <c r="B32" s="134"/>
      <c r="G32" s="14"/>
      <c r="H32" s="116" t="s">
        <v>145</v>
      </c>
      <c r="I32" s="117" t="s">
        <v>200</v>
      </c>
      <c r="J32" s="93">
        <f>75-(8.2*J30)-(1.4*(J31*J31))</f>
        <v>53</v>
      </c>
      <c r="K32" s="93" t="s">
        <v>201</v>
      </c>
      <c r="L32" s="93"/>
      <c r="M32" s="111"/>
      <c r="N32" s="14"/>
      <c r="O32" s="114"/>
      <c r="P32" s="119" t="s">
        <v>189</v>
      </c>
      <c r="Q32" s="135">
        <f>1.5/Q30</f>
        <v>0.125</v>
      </c>
      <c r="R32" s="91" t="s">
        <v>190</v>
      </c>
      <c r="S32" s="92"/>
      <c r="T32" s="111"/>
    </row>
    <row r="33" spans="7:20" s="23" customFormat="1" ht="15.75" thickBot="1">
      <c r="G33" s="14"/>
      <c r="H33" s="116" t="s">
        <v>141</v>
      </c>
      <c r="I33" s="93" t="s">
        <v>202</v>
      </c>
      <c r="J33" s="93">
        <f>J16</f>
        <v>12</v>
      </c>
      <c r="K33" s="93" t="s">
        <v>203</v>
      </c>
      <c r="L33" s="93"/>
      <c r="M33" s="111"/>
      <c r="N33" s="14"/>
      <c r="O33" s="113"/>
      <c r="P33" s="93"/>
      <c r="Q33" s="93"/>
      <c r="R33" s="93"/>
      <c r="S33" s="93"/>
      <c r="T33" s="111"/>
    </row>
    <row r="34" spans="7:20" s="23" customFormat="1" ht="19.5" thickBot="1">
      <c r="G34" s="14"/>
      <c r="H34" s="118"/>
      <c r="I34" s="93"/>
      <c r="J34" s="93"/>
      <c r="K34" s="93"/>
      <c r="L34" s="93"/>
      <c r="M34" s="111"/>
      <c r="N34" s="14"/>
      <c r="O34" s="113"/>
      <c r="P34" s="119" t="s">
        <v>196</v>
      </c>
      <c r="Q34" s="136">
        <f>((Q32*100)*0.6)*($C$21/$C$20)</f>
        <v>0.7717502840592626</v>
      </c>
      <c r="R34" s="59" t="s">
        <v>197</v>
      </c>
      <c r="S34" s="60"/>
      <c r="T34" s="111"/>
    </row>
    <row r="35" spans="7:20" s="23" customFormat="1" ht="19.5" thickBot="1">
      <c r="G35" s="14"/>
      <c r="H35" s="123"/>
      <c r="I35" s="119" t="s">
        <v>189</v>
      </c>
      <c r="J35" s="90">
        <f>(2*J29)/(J32*J33)</f>
        <v>0</v>
      </c>
      <c r="K35" s="91" t="s">
        <v>190</v>
      </c>
      <c r="L35" s="92"/>
      <c r="M35" s="111"/>
      <c r="N35" s="14"/>
      <c r="O35" s="120"/>
      <c r="P35" s="128"/>
      <c r="Q35" s="121"/>
      <c r="R35" s="121"/>
      <c r="S35" s="121"/>
      <c r="T35" s="127"/>
    </row>
    <row r="36" spans="7:20" s="23" customFormat="1" ht="15.75" thickBot="1">
      <c r="H36" s="113"/>
      <c r="I36" s="93"/>
      <c r="J36" s="93"/>
      <c r="K36" s="93"/>
      <c r="L36" s="93"/>
      <c r="M36" s="111"/>
    </row>
    <row r="37" spans="7:20" s="23" customFormat="1" ht="19.5" thickBot="1">
      <c r="H37" s="113"/>
      <c r="I37" s="119" t="s">
        <v>196</v>
      </c>
      <c r="J37" s="136">
        <f>((J35*100)*0.6)*($C$21/$C$20)</f>
        <v>0</v>
      </c>
      <c r="K37" s="59" t="s">
        <v>197</v>
      </c>
      <c r="L37" s="60"/>
      <c r="M37" s="111"/>
    </row>
    <row r="38" spans="7:20" s="23" customFormat="1" ht="15.75" thickBot="1">
      <c r="H38" s="124"/>
      <c r="I38" s="125"/>
      <c r="J38" s="125"/>
      <c r="K38" s="125"/>
      <c r="L38" s="125"/>
      <c r="M38" s="126"/>
    </row>
    <row r="39" spans="7:20" s="23" customFormat="1"/>
    <row r="40" spans="7:20" s="23" customFormat="1"/>
    <row r="41" spans="7:20" s="23" customFormat="1"/>
    <row r="42" spans="7:20" s="23" customFormat="1"/>
    <row r="43" spans="7:20" s="23" customFormat="1"/>
    <row r="44" spans="7:20" s="23" customFormat="1"/>
    <row r="45" spans="7:20" s="23" customFormat="1"/>
    <row r="46" spans="7:20" s="23" customFormat="1"/>
    <row r="47" spans="7:20" s="23" customFormat="1"/>
    <row r="48" spans="7:20"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sheetData>
  <sheetProtection selectLockedCells="1"/>
  <mergeCells count="2">
    <mergeCell ref="C16:D16"/>
    <mergeCell ref="I6:M6"/>
  </mergeCells>
  <hyperlinks>
    <hyperlink ref="K30" location="Hjelpetabeller!A1" display=" klasse fra tabell" xr:uid="{00000000-0004-0000-0900-000000000000}"/>
  </hyperlinks>
  <pageMargins left="0.25" right="0.25" top="0.75" bottom="0.75" header="0.3" footer="0.3"/>
  <pageSetup paperSize="9" scale="5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900-000000000000}">
          <x14:formula1>
            <xm:f>HJELPETABELLER!$B$7:$B$11</xm:f>
          </x14:formula1>
          <xm:sqref>J30</xm:sqref>
        </x14:dataValidation>
        <x14:dataValidation type="list" allowBlank="1" showInputMessage="1" showErrorMessage="1" xr:uid="{00000000-0002-0000-0900-000001000000}">
          <x14:formula1>
            <xm:f>HJELPETABELLER!$K$15:$K$16</xm:f>
          </x14:formula1>
          <xm:sqref>C23</xm:sqref>
        </x14:dataValidation>
        <x14:dataValidation type="list" allowBlank="1" showInputMessage="1" showErrorMessage="1" xr:uid="{00000000-0002-0000-0900-000002000000}">
          <x14:formula1>
            <xm:f>HJELPETABELLER!$F$15:$F$20</xm:f>
          </x14:formula1>
          <xm:sqref>C19</xm:sqref>
        </x14:dataValidation>
        <x14:dataValidation type="list" allowBlank="1" showInputMessage="1" showErrorMessage="1" xr:uid="{00000000-0002-0000-0900-000003000000}">
          <x14:formula1>
            <xm:f>HJELPETABELLER!$J$15:$J$16</xm:f>
          </x14:formula1>
          <xm:sqref>C22</xm:sqref>
        </x14:dataValidation>
        <x14:dataValidation type="list" allowBlank="1" showInputMessage="1" showErrorMessage="1" xr:uid="{00000000-0002-0000-0900-000004000000}">
          <x14:formula1>
            <xm:f>HJELPETABELLER!$F$7:$F$11</xm:f>
          </x14:formula1>
          <xm:sqref>J31</xm:sqref>
        </x14:dataValidation>
        <x14:dataValidation type="list" allowBlank="1" showInputMessage="1" showErrorMessage="1" xr:uid="{00000000-0002-0000-0900-000005000000}">
          <x14:formula1>
            <xm:f>HJELPETABELLER!#REF!</xm:f>
          </x14:formula1>
          <xm:sqref>C16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126"/>
  <sheetViews>
    <sheetView workbookViewId="0">
      <selection activeCell="E24" sqref="E24"/>
    </sheetView>
  </sheetViews>
  <sheetFormatPr defaultColWidth="11.42578125" defaultRowHeight="15"/>
  <cols>
    <col min="1" max="1" width="7" customWidth="1"/>
    <col min="2" max="2" width="49.7109375" customWidth="1"/>
    <col min="3" max="3" width="7.7109375" customWidth="1"/>
    <col min="5" max="5" width="10.7109375" customWidth="1"/>
    <col min="6" max="6" width="2.28515625" customWidth="1"/>
    <col min="7" max="7" width="2.28515625" style="14" customWidth="1"/>
    <col min="8" max="8" width="7" customWidth="1"/>
    <col min="9" max="9" width="34.140625" customWidth="1"/>
    <col min="10" max="10" width="7.28515625" customWidth="1"/>
    <col min="13" max="13" width="2.28515625" customWidth="1"/>
    <col min="14" max="14" width="2.7109375" style="14" customWidth="1"/>
    <col min="15" max="15" width="7" style="23" customWidth="1"/>
    <col min="16" max="16" width="34.140625" style="23" customWidth="1"/>
    <col min="17" max="17" width="7.28515625" style="23" customWidth="1"/>
    <col min="18" max="19" width="11.5703125" style="23"/>
    <col min="20" max="20" width="2.7109375" style="23" customWidth="1"/>
    <col min="21" max="28" width="11.5703125" style="23"/>
  </cols>
  <sheetData>
    <row r="1" spans="1:38" s="301" customFormat="1" ht="13.7" customHeight="1"/>
    <row r="2" spans="1:38" s="301" customFormat="1" ht="13.7" customHeight="1"/>
    <row r="3" spans="1:38" s="301" customFormat="1" ht="13.7" customHeight="1"/>
    <row r="4" spans="1:38" s="23" customFormat="1" ht="42" customHeight="1">
      <c r="A4" s="310" t="s">
        <v>180</v>
      </c>
      <c r="AL4"/>
    </row>
    <row r="5" spans="1:38" s="23" customFormat="1" ht="30" customHeight="1" thickBot="1"/>
    <row r="6" spans="1:38" ht="46.15" customHeight="1">
      <c r="A6" s="274" t="s">
        <v>181</v>
      </c>
      <c r="B6" s="275" t="s">
        <v>182</v>
      </c>
      <c r="C6" s="96"/>
      <c r="D6" s="96"/>
      <c r="E6" s="96"/>
      <c r="F6" s="97"/>
      <c r="G6" s="133"/>
      <c r="H6" s="273" t="s">
        <v>183</v>
      </c>
      <c r="I6" s="652" t="s">
        <v>184</v>
      </c>
      <c r="J6" s="652"/>
      <c r="K6" s="652"/>
      <c r="L6" s="652"/>
      <c r="M6" s="653"/>
      <c r="N6" s="133"/>
      <c r="O6" s="274" t="s">
        <v>185</v>
      </c>
      <c r="P6" s="276" t="s">
        <v>186</v>
      </c>
      <c r="Q6" s="277"/>
      <c r="R6" s="278"/>
      <c r="S6" s="278"/>
      <c r="T6" s="105"/>
    </row>
    <row r="7" spans="1:38" ht="23.25">
      <c r="A7" s="98"/>
      <c r="B7" s="49"/>
      <c r="C7" s="48"/>
      <c r="D7" s="49"/>
      <c r="E7" s="49"/>
      <c r="F7" s="50"/>
      <c r="H7" s="98"/>
      <c r="I7" s="49"/>
      <c r="J7" s="48"/>
      <c r="K7" s="49"/>
      <c r="L7" s="49"/>
      <c r="M7" s="50"/>
      <c r="O7" s="106"/>
      <c r="P7" s="107"/>
      <c r="Q7" s="49"/>
      <c r="R7" s="99" t="s">
        <v>187</v>
      </c>
      <c r="S7" s="49"/>
      <c r="T7" s="50"/>
    </row>
    <row r="8" spans="1:38" ht="21">
      <c r="A8" s="98"/>
      <c r="B8" s="48"/>
      <c r="C8" s="48"/>
      <c r="D8" s="99" t="s">
        <v>187</v>
      </c>
      <c r="E8" s="100"/>
      <c r="F8" s="50"/>
      <c r="H8" s="98"/>
      <c r="I8" s="49"/>
      <c r="J8" s="48"/>
      <c r="K8" s="99" t="s">
        <v>187</v>
      </c>
      <c r="L8" s="49"/>
      <c r="M8" s="50"/>
      <c r="O8" s="51"/>
      <c r="P8" s="52"/>
      <c r="Q8" s="52"/>
      <c r="R8" s="49"/>
      <c r="S8" s="49"/>
      <c r="T8" s="108"/>
    </row>
    <row r="9" spans="1:38" ht="15.75">
      <c r="A9" s="98"/>
      <c r="B9" s="100"/>
      <c r="C9" s="48"/>
      <c r="D9" s="49"/>
      <c r="E9" s="49"/>
      <c r="F9" s="50"/>
      <c r="H9" s="101"/>
      <c r="I9" s="49"/>
      <c r="J9" s="49"/>
      <c r="K9" s="49"/>
      <c r="L9" s="49"/>
      <c r="M9" s="50"/>
      <c r="O9" s="132" t="s">
        <v>115</v>
      </c>
      <c r="P9" s="117" t="s">
        <v>188</v>
      </c>
      <c r="Q9" s="93">
        <f>C21/C20</f>
        <v>0.11646311431143115</v>
      </c>
      <c r="R9" s="93" t="s">
        <v>117</v>
      </c>
      <c r="S9" s="93"/>
      <c r="T9" s="111"/>
    </row>
    <row r="10" spans="1:38" ht="15.75">
      <c r="A10" s="98"/>
      <c r="B10" s="100"/>
      <c r="C10" s="100"/>
      <c r="D10" s="100"/>
      <c r="E10" s="100"/>
      <c r="F10" s="50"/>
      <c r="H10" s="101"/>
      <c r="I10" s="49"/>
      <c r="J10" s="49"/>
      <c r="K10" s="49"/>
      <c r="L10" s="49"/>
      <c r="M10" s="50"/>
      <c r="O10" s="114"/>
      <c r="P10" s="117"/>
      <c r="Q10" s="93"/>
      <c r="R10" s="115"/>
      <c r="S10" s="93"/>
      <c r="T10" s="111"/>
    </row>
    <row r="11" spans="1:38" ht="19.5" thickBot="1">
      <c r="A11" s="109"/>
      <c r="B11" s="112"/>
      <c r="C11" s="112"/>
      <c r="D11" s="112"/>
      <c r="E11" s="112"/>
      <c r="F11" s="111"/>
      <c r="H11" s="101"/>
      <c r="I11" s="49"/>
      <c r="J11" s="49"/>
      <c r="K11" s="49"/>
      <c r="L11" s="49"/>
      <c r="M11" s="50"/>
      <c r="O11" s="114"/>
      <c r="P11" s="119" t="s">
        <v>189</v>
      </c>
      <c r="Q11" s="135">
        <f>IF(Q9&lt;0.5,0.05-Q9,0.05-0.5)</f>
        <v>-6.6463114311431148E-2</v>
      </c>
      <c r="R11" s="91" t="s">
        <v>190</v>
      </c>
      <c r="S11" s="92"/>
      <c r="T11" s="111"/>
    </row>
    <row r="12" spans="1:38" ht="16.5" thickBot="1">
      <c r="A12" s="109"/>
      <c r="B12" s="112"/>
      <c r="C12" s="112"/>
      <c r="D12" s="112"/>
      <c r="E12" s="112"/>
      <c r="F12" s="111"/>
      <c r="H12" s="116" t="s">
        <v>191</v>
      </c>
      <c r="I12" s="117" t="s">
        <v>192</v>
      </c>
      <c r="J12" s="316">
        <f>'LASSBÆRER (G15)'!J12</f>
        <v>200</v>
      </c>
      <c r="K12" s="115" t="s">
        <v>193</v>
      </c>
      <c r="L12" s="115"/>
      <c r="M12" s="111"/>
      <c r="O12" s="113"/>
      <c r="P12" s="93"/>
      <c r="Q12" s="93"/>
      <c r="R12" s="93"/>
      <c r="S12" s="93"/>
      <c r="T12" s="111"/>
    </row>
    <row r="13" spans="1:38" ht="19.5" thickBot="1">
      <c r="A13" s="109"/>
      <c r="B13" s="112"/>
      <c r="C13" s="112"/>
      <c r="D13" s="112"/>
      <c r="E13" s="112"/>
      <c r="F13" s="111"/>
      <c r="H13" s="116" t="s">
        <v>136</v>
      </c>
      <c r="I13" s="93" t="s">
        <v>194</v>
      </c>
      <c r="J13" s="93">
        <f>'HOGSTMASKIN (G0)'!C19</f>
        <v>2</v>
      </c>
      <c r="K13" s="115" t="s">
        <v>195</v>
      </c>
      <c r="L13" s="93"/>
      <c r="M13" s="111"/>
      <c r="O13" s="113"/>
      <c r="P13" s="119" t="s">
        <v>196</v>
      </c>
      <c r="Q13" s="136">
        <f>((Q11*100)*0.6)*($C$21/$C$20)</f>
        <v>-0.46443007677275527</v>
      </c>
      <c r="R13" s="59" t="s">
        <v>197</v>
      </c>
      <c r="S13" s="60"/>
      <c r="T13" s="111"/>
    </row>
    <row r="14" spans="1:38" ht="16.5" thickBot="1">
      <c r="A14" s="109"/>
      <c r="B14" s="112"/>
      <c r="C14" s="112"/>
      <c r="D14" s="112"/>
      <c r="E14" s="112"/>
      <c r="F14" s="111"/>
      <c r="H14" s="116" t="s">
        <v>198</v>
      </c>
      <c r="I14" s="93" t="s">
        <v>199</v>
      </c>
      <c r="J14" s="93">
        <f>'HOGSTMASKIN (G0)'!C20</f>
        <v>2</v>
      </c>
      <c r="K14" s="115" t="s">
        <v>195</v>
      </c>
      <c r="L14" s="93"/>
      <c r="M14" s="111"/>
      <c r="O14" s="120"/>
      <c r="P14" s="128"/>
      <c r="Q14" s="121"/>
      <c r="R14" s="121"/>
      <c r="S14" s="121"/>
      <c r="T14" s="127"/>
    </row>
    <row r="15" spans="1:38" ht="15.75" thickBot="1">
      <c r="A15" s="113"/>
      <c r="B15" s="93"/>
      <c r="C15" s="93"/>
      <c r="D15" s="93"/>
      <c r="E15" s="93"/>
      <c r="F15" s="111"/>
      <c r="H15" s="116" t="s">
        <v>145</v>
      </c>
      <c r="I15" s="117" t="s">
        <v>200</v>
      </c>
      <c r="J15" s="93">
        <f>75-(8.2*J13)-(1.4*(J14*J14))</f>
        <v>53</v>
      </c>
      <c r="K15" s="93" t="s">
        <v>201</v>
      </c>
      <c r="L15" s="93"/>
      <c r="M15" s="111"/>
    </row>
    <row r="16" spans="1:38" ht="24" thickBot="1">
      <c r="A16" s="113"/>
      <c r="B16" s="93"/>
      <c r="C16" s="651"/>
      <c r="D16" s="651"/>
      <c r="E16" s="93"/>
      <c r="F16" s="111"/>
      <c r="H16" s="116" t="s">
        <v>141</v>
      </c>
      <c r="I16" s="131" t="s">
        <v>202</v>
      </c>
      <c r="J16" s="316">
        <f>'LASSBÆRER (G15)'!J16</f>
        <v>12</v>
      </c>
      <c r="K16" s="93" t="s">
        <v>203</v>
      </c>
      <c r="L16" s="93"/>
      <c r="M16" s="111"/>
      <c r="O16" s="94" t="s">
        <v>204</v>
      </c>
      <c r="P16" s="102" t="s">
        <v>205</v>
      </c>
      <c r="Q16" s="103"/>
      <c r="R16" s="104"/>
      <c r="S16" s="104"/>
      <c r="T16" s="105"/>
    </row>
    <row r="17" spans="1:28" ht="15.75" customHeight="1">
      <c r="A17" s="109"/>
      <c r="B17" s="112"/>
      <c r="C17" s="110"/>
      <c r="D17" s="93"/>
      <c r="E17" s="93"/>
      <c r="F17" s="111"/>
      <c r="H17" s="118"/>
      <c r="I17" s="93"/>
      <c r="J17" s="93"/>
      <c r="K17" s="93"/>
      <c r="L17" s="93"/>
      <c r="M17" s="111"/>
      <c r="O17" s="137" t="s">
        <v>206</v>
      </c>
      <c r="P17" s="52"/>
      <c r="Q17" s="52"/>
      <c r="R17" s="52"/>
      <c r="S17" s="52"/>
      <c r="T17" s="50"/>
    </row>
    <row r="18" spans="1:28" ht="19.5" customHeight="1" thickBot="1">
      <c r="A18" s="116" t="s">
        <v>207</v>
      </c>
      <c r="B18" s="117" t="s">
        <v>208</v>
      </c>
      <c r="C18" s="93">
        <v>1.4</v>
      </c>
      <c r="D18" s="489" t="s">
        <v>112</v>
      </c>
      <c r="E18" s="93"/>
      <c r="F18" s="111"/>
      <c r="H18" s="123"/>
      <c r="I18" s="119" t="s">
        <v>189</v>
      </c>
      <c r="J18" s="90">
        <f>(2*J12)/(J15*J16)</f>
        <v>0.62893081761006286</v>
      </c>
      <c r="K18" s="91" t="s">
        <v>190</v>
      </c>
      <c r="L18" s="92"/>
      <c r="M18" s="111"/>
      <c r="O18" s="106"/>
      <c r="P18" s="107"/>
      <c r="Q18" s="49"/>
      <c r="R18" s="99" t="s">
        <v>187</v>
      </c>
      <c r="S18" s="49"/>
      <c r="T18" s="50"/>
    </row>
    <row r="19" spans="1:28" s="1" customFormat="1" ht="15.75" customHeight="1" thickBot="1">
      <c r="A19" s="116" t="s">
        <v>209</v>
      </c>
      <c r="B19" s="117" t="s">
        <v>210</v>
      </c>
      <c r="C19" s="316">
        <f>'LASSBÆRER (G15)'!C19</f>
        <v>0.67</v>
      </c>
      <c r="D19" s="93" t="s">
        <v>211</v>
      </c>
      <c r="E19" s="93"/>
      <c r="F19" s="111"/>
      <c r="G19" s="14"/>
      <c r="H19" s="113"/>
      <c r="I19" s="93"/>
      <c r="J19" s="93"/>
      <c r="K19" s="93"/>
      <c r="L19" s="93"/>
      <c r="M19" s="111"/>
      <c r="N19" s="14"/>
      <c r="O19" s="51"/>
      <c r="P19" s="52"/>
      <c r="Q19" s="52"/>
      <c r="R19" s="49"/>
      <c r="S19" s="49"/>
      <c r="T19" s="108"/>
      <c r="U19" s="82"/>
      <c r="V19" s="82"/>
      <c r="W19" s="82"/>
      <c r="X19" s="82"/>
      <c r="Y19" s="82"/>
      <c r="Z19" s="82"/>
      <c r="AA19" s="82"/>
      <c r="AB19" s="82"/>
    </row>
    <row r="20" spans="1:28" ht="19.5" thickBot="1">
      <c r="A20" s="116" t="s">
        <v>212</v>
      </c>
      <c r="B20" s="93" t="s">
        <v>213</v>
      </c>
      <c r="C20" s="131">
        <f>'HM 2'!C18</f>
        <v>77.769999999999982</v>
      </c>
      <c r="D20" s="93" t="s">
        <v>140</v>
      </c>
      <c r="E20" s="93"/>
      <c r="F20" s="111"/>
      <c r="H20" s="113"/>
      <c r="I20" s="119" t="s">
        <v>196</v>
      </c>
      <c r="J20" s="136">
        <f>((J18*100)*0.6)*($C$21/$C$20)</f>
        <v>4.3948345023181563</v>
      </c>
      <c r="K20" s="59" t="s">
        <v>197</v>
      </c>
      <c r="L20" s="60"/>
      <c r="M20" s="111"/>
      <c r="O20" s="132" t="s">
        <v>124</v>
      </c>
      <c r="P20" s="117" t="s">
        <v>214</v>
      </c>
      <c r="Q20" s="316">
        <f>'LASSBÆRER (G15)'!Q20</f>
        <v>4</v>
      </c>
      <c r="R20" s="93" t="s">
        <v>215</v>
      </c>
      <c r="S20" s="93"/>
      <c r="T20" s="111"/>
    </row>
    <row r="21" spans="1:28" s="1" customFormat="1" ht="18" customHeight="1" thickBot="1">
      <c r="A21" s="116" t="s">
        <v>216</v>
      </c>
      <c r="B21" s="93" t="s">
        <v>217</v>
      </c>
      <c r="C21" s="93">
        <f>'HM 2'!C22</f>
        <v>9.0573363999999987</v>
      </c>
      <c r="D21" s="93" t="s">
        <v>218</v>
      </c>
      <c r="E21" s="93"/>
      <c r="F21" s="111"/>
      <c r="G21" s="14"/>
      <c r="H21" s="124"/>
      <c r="I21" s="125"/>
      <c r="J21" s="125"/>
      <c r="K21" s="125"/>
      <c r="L21" s="125"/>
      <c r="M21" s="126"/>
      <c r="N21" s="14"/>
      <c r="O21" s="114"/>
      <c r="P21" s="117"/>
      <c r="Q21" s="93"/>
      <c r="R21" s="115"/>
      <c r="S21" s="93"/>
      <c r="T21" s="111"/>
      <c r="U21" s="82"/>
      <c r="V21" s="82"/>
      <c r="W21" s="82"/>
      <c r="X21" s="82"/>
      <c r="Y21" s="82"/>
      <c r="Z21" s="82"/>
      <c r="AA21" s="82"/>
      <c r="AB21" s="82"/>
    </row>
    <row r="22" spans="1:28" ht="19.5" customHeight="1" thickBot="1">
      <c r="A22" s="118" t="s">
        <v>219</v>
      </c>
      <c r="B22" s="93" t="s">
        <v>220</v>
      </c>
      <c r="C22" s="316">
        <f>'LASSBÆRER (G15)'!C22</f>
        <v>-43</v>
      </c>
      <c r="D22" s="115"/>
      <c r="E22" s="115"/>
      <c r="F22" s="111"/>
      <c r="H22" s="23"/>
      <c r="I22" s="23"/>
      <c r="J22" s="23"/>
      <c r="K22" s="23"/>
      <c r="L22" s="23"/>
      <c r="M22" s="23"/>
      <c r="O22" s="114"/>
      <c r="P22" s="119" t="s">
        <v>189</v>
      </c>
      <c r="Q22" s="135">
        <f>-0.1+0.1*Q20</f>
        <v>0.30000000000000004</v>
      </c>
      <c r="R22" s="91" t="s">
        <v>190</v>
      </c>
      <c r="S22" s="92"/>
      <c r="T22" s="111"/>
    </row>
    <row r="23" spans="1:28" s="1" customFormat="1" ht="20.25" customHeight="1" thickBot="1">
      <c r="A23" s="118" t="s">
        <v>221</v>
      </c>
      <c r="B23" s="93" t="s">
        <v>220</v>
      </c>
      <c r="C23" s="316">
        <f>'LASSBÆRER (G15)'!C23</f>
        <v>25.9</v>
      </c>
      <c r="D23" s="115"/>
      <c r="E23" s="115"/>
      <c r="F23" s="111"/>
      <c r="G23" s="14"/>
      <c r="H23" s="94" t="s">
        <v>222</v>
      </c>
      <c r="I23" s="95" t="s">
        <v>223</v>
      </c>
      <c r="J23" s="96"/>
      <c r="K23" s="96"/>
      <c r="L23" s="96"/>
      <c r="M23" s="97"/>
      <c r="N23" s="14"/>
      <c r="O23" s="113"/>
      <c r="P23" s="93"/>
      <c r="Q23" s="93"/>
      <c r="R23" s="93"/>
      <c r="S23" s="93"/>
      <c r="T23" s="111"/>
      <c r="U23" s="82"/>
      <c r="V23" s="82"/>
      <c r="W23" s="82"/>
      <c r="X23" s="82"/>
      <c r="Y23" s="82"/>
      <c r="Z23" s="82"/>
      <c r="AA23" s="82"/>
      <c r="AB23" s="82"/>
    </row>
    <row r="24" spans="1:28" ht="19.5" thickBot="1">
      <c r="A24" s="114"/>
      <c r="B24" s="93"/>
      <c r="C24" s="93"/>
      <c r="D24" s="93"/>
      <c r="E24" s="93"/>
      <c r="F24" s="111"/>
      <c r="H24" s="98"/>
      <c r="I24" s="49"/>
      <c r="J24" s="48"/>
      <c r="K24" s="49"/>
      <c r="L24" s="49"/>
      <c r="M24" s="50"/>
      <c r="O24" s="113"/>
      <c r="P24" s="119" t="s">
        <v>196</v>
      </c>
      <c r="Q24" s="136">
        <f>((Q22*100)*0.6)*($C$21/$C$20)</f>
        <v>2.0963360576057606</v>
      </c>
      <c r="R24" s="59" t="s">
        <v>197</v>
      </c>
      <c r="S24" s="60"/>
      <c r="T24" s="111"/>
    </row>
    <row r="25" spans="1:28" s="1" customFormat="1" ht="18" customHeight="1" thickBot="1">
      <c r="A25" s="114"/>
      <c r="B25" s="119" t="s">
        <v>189</v>
      </c>
      <c r="C25" s="90">
        <f>C18*(C22+(C19*C21*10)+(C23*SQRT(C21*10)))/(C21*10)</f>
        <v>4.0833680231627119</v>
      </c>
      <c r="D25" s="91" t="s">
        <v>190</v>
      </c>
      <c r="E25" s="92"/>
      <c r="F25" s="111"/>
      <c r="G25" s="14"/>
      <c r="H25" s="98"/>
      <c r="I25" s="49"/>
      <c r="J25" s="48"/>
      <c r="K25" s="99" t="s">
        <v>187</v>
      </c>
      <c r="L25" s="49"/>
      <c r="M25" s="50"/>
      <c r="N25" s="14"/>
      <c r="O25" s="120"/>
      <c r="P25" s="128"/>
      <c r="Q25" s="121"/>
      <c r="R25" s="121"/>
      <c r="S25" s="121"/>
      <c r="T25" s="127"/>
      <c r="U25" s="82"/>
      <c r="V25" s="82"/>
      <c r="W25" s="82"/>
      <c r="X25" s="82"/>
      <c r="Y25" s="82"/>
      <c r="Z25" s="82"/>
      <c r="AA25" s="82"/>
      <c r="AB25" s="82"/>
    </row>
    <row r="26" spans="1:28" ht="18.95" customHeight="1" thickBot="1">
      <c r="A26" s="113"/>
      <c r="B26" s="93"/>
      <c r="C26" s="93"/>
      <c r="D26" s="93"/>
      <c r="E26" s="93"/>
      <c r="F26" s="111"/>
      <c r="H26" s="101"/>
      <c r="I26" s="49"/>
      <c r="J26" s="49"/>
      <c r="K26" s="49"/>
      <c r="L26" s="49"/>
      <c r="M26" s="50"/>
      <c r="O26" s="82"/>
      <c r="P26" s="82"/>
      <c r="Q26" s="82"/>
      <c r="R26" s="82"/>
      <c r="S26" s="82"/>
      <c r="T26" s="82"/>
    </row>
    <row r="27" spans="1:28" s="1" customFormat="1" ht="18.95" customHeight="1" thickBot="1">
      <c r="A27" s="113"/>
      <c r="B27" s="119" t="s">
        <v>196</v>
      </c>
      <c r="C27" s="136">
        <f>((C25*100)*0.6)*($C$21/$C$20)</f>
        <v>28.533705411434493</v>
      </c>
      <c r="D27" s="59" t="s">
        <v>197</v>
      </c>
      <c r="E27" s="60"/>
      <c r="F27" s="111"/>
      <c r="G27" s="15"/>
      <c r="H27" s="101"/>
      <c r="I27" s="49"/>
      <c r="J27" s="49"/>
      <c r="K27" s="49"/>
      <c r="L27" s="49"/>
      <c r="M27" s="50"/>
      <c r="N27" s="15"/>
      <c r="O27" s="273" t="s">
        <v>224</v>
      </c>
      <c r="P27" s="318" t="s">
        <v>131</v>
      </c>
      <c r="Q27" s="103"/>
      <c r="R27" s="104"/>
      <c r="S27" s="104"/>
      <c r="T27" s="105"/>
      <c r="U27" s="82"/>
      <c r="V27" s="82"/>
      <c r="W27" s="82"/>
      <c r="X27" s="82"/>
      <c r="Y27" s="82"/>
      <c r="Z27" s="82"/>
      <c r="AA27" s="82"/>
      <c r="AB27" s="82"/>
    </row>
    <row r="28" spans="1:28" ht="24" thickBot="1">
      <c r="A28" s="120"/>
      <c r="B28" s="121"/>
      <c r="C28" s="121"/>
      <c r="D28" s="121"/>
      <c r="E28" s="121"/>
      <c r="F28" s="122"/>
      <c r="H28" s="101"/>
      <c r="I28" s="49"/>
      <c r="J28" s="49"/>
      <c r="K28" s="49"/>
      <c r="L28" s="49"/>
      <c r="M28" s="50"/>
      <c r="O28" s="106"/>
      <c r="P28" s="107"/>
      <c r="Q28" s="49"/>
      <c r="R28" s="99" t="s">
        <v>187</v>
      </c>
      <c r="S28" s="49"/>
      <c r="T28" s="50"/>
    </row>
    <row r="29" spans="1:28" ht="15.75" thickBot="1">
      <c r="A29" s="81"/>
      <c r="B29" s="81"/>
      <c r="C29" s="81"/>
      <c r="D29" s="81"/>
      <c r="E29" s="81"/>
      <c r="F29" s="81"/>
      <c r="H29" s="116" t="s">
        <v>191</v>
      </c>
      <c r="I29" s="117" t="s">
        <v>192</v>
      </c>
      <c r="J29" s="316">
        <f>'LASSBÆRER (G15)'!J29</f>
        <v>0</v>
      </c>
      <c r="K29" s="115" t="s">
        <v>193</v>
      </c>
      <c r="L29" s="115"/>
      <c r="M29" s="111"/>
      <c r="O29" s="51"/>
      <c r="P29" s="52"/>
      <c r="Q29" s="52"/>
      <c r="R29" s="49"/>
      <c r="S29" s="49"/>
      <c r="T29" s="108"/>
    </row>
    <row r="30" spans="1:28" ht="15.75" thickBot="1">
      <c r="A30" s="23"/>
      <c r="B30" s="23"/>
      <c r="C30" s="23"/>
      <c r="D30" s="23"/>
      <c r="E30" s="23"/>
      <c r="F30" s="23"/>
      <c r="H30" s="116" t="s">
        <v>136</v>
      </c>
      <c r="I30" s="93" t="s">
        <v>194</v>
      </c>
      <c r="J30" s="316">
        <f>'LASSBÆRER (G15)'!J30</f>
        <v>2</v>
      </c>
      <c r="K30" s="317" t="s">
        <v>138</v>
      </c>
      <c r="L30" s="93"/>
      <c r="M30" s="111"/>
      <c r="O30" s="132" t="s">
        <v>141</v>
      </c>
      <c r="P30" s="117" t="s">
        <v>202</v>
      </c>
      <c r="Q30" s="93">
        <f>J16</f>
        <v>12</v>
      </c>
      <c r="R30" s="93" t="s">
        <v>117</v>
      </c>
      <c r="S30" s="93"/>
      <c r="T30" s="111"/>
    </row>
    <row r="31" spans="1:28" ht="15.75" thickBot="1">
      <c r="A31" s="23"/>
      <c r="B31" s="138"/>
      <c r="C31" s="23"/>
      <c r="D31" s="23"/>
      <c r="E31" s="23"/>
      <c r="F31" s="23"/>
      <c r="H31" s="116" t="s">
        <v>198</v>
      </c>
      <c r="I31" s="93" t="s">
        <v>199</v>
      </c>
      <c r="J31" s="316">
        <f>'LASSBÆRER (G15)'!J31</f>
        <v>2</v>
      </c>
      <c r="K31" s="115" t="s">
        <v>138</v>
      </c>
      <c r="L31" s="93"/>
      <c r="M31" s="111"/>
      <c r="O31" s="114"/>
      <c r="P31" s="117"/>
      <c r="Q31" s="93"/>
      <c r="R31" s="115"/>
      <c r="S31" s="93"/>
      <c r="T31" s="111"/>
    </row>
    <row r="32" spans="1:28" s="23" customFormat="1" ht="18.75">
      <c r="B32" s="134"/>
      <c r="G32" s="14"/>
      <c r="H32" s="116" t="s">
        <v>145</v>
      </c>
      <c r="I32" s="117" t="s">
        <v>200</v>
      </c>
      <c r="J32" s="93">
        <f>75-(8.2*J30)-(1.4*(J31*J31))</f>
        <v>53</v>
      </c>
      <c r="K32" s="93" t="s">
        <v>201</v>
      </c>
      <c r="L32" s="93"/>
      <c r="M32" s="111"/>
      <c r="N32" s="14"/>
      <c r="O32" s="114"/>
      <c r="P32" s="119" t="s">
        <v>189</v>
      </c>
      <c r="Q32" s="135">
        <f>1.5/Q30</f>
        <v>0.125</v>
      </c>
      <c r="R32" s="91" t="s">
        <v>190</v>
      </c>
      <c r="S32" s="92"/>
      <c r="T32" s="111"/>
    </row>
    <row r="33" spans="7:20" s="23" customFormat="1" ht="15.75" thickBot="1">
      <c r="G33" s="14"/>
      <c r="H33" s="116" t="s">
        <v>141</v>
      </c>
      <c r="I33" s="93" t="s">
        <v>202</v>
      </c>
      <c r="J33" s="93">
        <f>J16</f>
        <v>12</v>
      </c>
      <c r="K33" s="93" t="s">
        <v>203</v>
      </c>
      <c r="L33" s="93"/>
      <c r="M33" s="111"/>
      <c r="N33" s="14"/>
      <c r="O33" s="113"/>
      <c r="P33" s="93"/>
      <c r="Q33" s="93"/>
      <c r="R33" s="93"/>
      <c r="S33" s="93"/>
      <c r="T33" s="111"/>
    </row>
    <row r="34" spans="7:20" s="23" customFormat="1" ht="19.5" thickBot="1">
      <c r="G34" s="14"/>
      <c r="H34" s="118"/>
      <c r="I34" s="93"/>
      <c r="J34" s="93"/>
      <c r="K34" s="93"/>
      <c r="L34" s="93"/>
      <c r="M34" s="111"/>
      <c r="N34" s="14"/>
      <c r="O34" s="113"/>
      <c r="P34" s="119" t="s">
        <v>196</v>
      </c>
      <c r="Q34" s="136">
        <f>((Q32*100)*0.6)*($C$21/$C$20)</f>
        <v>0.87347335733573361</v>
      </c>
      <c r="R34" s="59" t="s">
        <v>197</v>
      </c>
      <c r="S34" s="60"/>
      <c r="T34" s="111"/>
    </row>
    <row r="35" spans="7:20" s="23" customFormat="1" ht="19.5" thickBot="1">
      <c r="G35" s="14"/>
      <c r="H35" s="123"/>
      <c r="I35" s="119" t="s">
        <v>189</v>
      </c>
      <c r="J35" s="90">
        <f>(2*J29)/(J32*J33)</f>
        <v>0</v>
      </c>
      <c r="K35" s="91" t="s">
        <v>190</v>
      </c>
      <c r="L35" s="92"/>
      <c r="M35" s="111"/>
      <c r="N35" s="14"/>
      <c r="O35" s="120"/>
      <c r="P35" s="128"/>
      <c r="Q35" s="121"/>
      <c r="R35" s="121"/>
      <c r="S35" s="121"/>
      <c r="T35" s="127"/>
    </row>
    <row r="36" spans="7:20" s="23" customFormat="1" ht="15.75" thickBot="1">
      <c r="H36" s="113"/>
      <c r="I36" s="93"/>
      <c r="J36" s="93"/>
      <c r="K36" s="93"/>
      <c r="L36" s="93"/>
      <c r="M36" s="111"/>
    </row>
    <row r="37" spans="7:20" s="23" customFormat="1" ht="19.5" thickBot="1">
      <c r="H37" s="113"/>
      <c r="I37" s="119" t="s">
        <v>196</v>
      </c>
      <c r="J37" s="136">
        <f>((J35*100)*0.6)*($C$21/$C$20)</f>
        <v>0</v>
      </c>
      <c r="K37" s="59" t="s">
        <v>197</v>
      </c>
      <c r="L37" s="60"/>
      <c r="M37" s="111"/>
    </row>
    <row r="38" spans="7:20" s="23" customFormat="1" ht="15.75" thickBot="1">
      <c r="H38" s="124"/>
      <c r="I38" s="125"/>
      <c r="J38" s="125"/>
      <c r="K38" s="125"/>
      <c r="L38" s="125"/>
      <c r="M38" s="126"/>
    </row>
    <row r="39" spans="7:20" s="23" customFormat="1"/>
    <row r="40" spans="7:20" s="23" customFormat="1"/>
    <row r="41" spans="7:20" s="23" customFormat="1"/>
    <row r="42" spans="7:20" s="23" customFormat="1"/>
    <row r="43" spans="7:20" s="23" customFormat="1"/>
    <row r="44" spans="7:20" s="23" customFormat="1"/>
    <row r="45" spans="7:20" s="23" customFormat="1"/>
    <row r="46" spans="7:20" s="23" customFormat="1"/>
    <row r="47" spans="7:20" s="23" customFormat="1"/>
    <row r="48" spans="7:20"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sheetData>
  <mergeCells count="2">
    <mergeCell ref="I6:M6"/>
    <mergeCell ref="C16:D16"/>
  </mergeCells>
  <hyperlinks>
    <hyperlink ref="K30" location="Hjelpetabeller!A1" display=" klasse fra tabell" xr:uid="{00000000-0004-0000-0A00-000000000000}"/>
  </hyperlink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HJELPETABELLER!#REF!</xm:f>
          </x14:formula1>
          <xm:sqref>C16</xm:sqref>
        </x14:dataValidation>
        <x14:dataValidation type="list" allowBlank="1" showInputMessage="1" showErrorMessage="1" xr:uid="{00000000-0002-0000-0A00-000001000000}">
          <x14:formula1>
            <xm:f>HJELPETABELLER!$F$15:$F$20</xm:f>
          </x14:formula1>
          <xm:sqref>C19 C22:C23 J12 J16 J29:J31 Q20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79"/>
  <sheetViews>
    <sheetView showRowColHeaders="0" zoomScaleNormal="100" workbookViewId="0">
      <pane ySplit="4" topLeftCell="A14" activePane="bottomLeft" state="frozen"/>
      <selection pane="bottomLeft" activeCell="E24" sqref="E24"/>
      <selection activeCell="E24" sqref="E24"/>
    </sheetView>
  </sheetViews>
  <sheetFormatPr defaultColWidth="11.42578125" defaultRowHeight="15"/>
  <cols>
    <col min="1" max="1" width="2" style="23" customWidth="1"/>
    <col min="2" max="2" width="22" customWidth="1"/>
    <col min="3" max="3" width="20.7109375" customWidth="1"/>
    <col min="4" max="4" width="19.7109375" style="23" customWidth="1"/>
    <col min="5" max="5" width="20.7109375" style="23" customWidth="1"/>
    <col min="6" max="6" width="23" customWidth="1"/>
    <col min="7" max="7" width="11.7109375" style="37" customWidth="1"/>
    <col min="8" max="8" width="5.28515625" style="23" customWidth="1"/>
    <col min="9" max="9" width="17.28515625" style="13" customWidth="1"/>
    <col min="10" max="11" width="10.7109375" style="13" customWidth="1"/>
    <col min="12" max="12" width="42.28515625" style="23" customWidth="1"/>
    <col min="13" max="19" width="0" hidden="1" customWidth="1"/>
    <col min="20" max="20" width="14.28515625" hidden="1" customWidth="1"/>
  </cols>
  <sheetData>
    <row r="1" spans="1:38" s="301" customFormat="1" ht="13.7" customHeight="1"/>
    <row r="2" spans="1:38" s="301" customFormat="1" ht="13.7" customHeight="1"/>
    <row r="3" spans="1:38" s="301" customFormat="1" ht="13.7" customHeight="1"/>
    <row r="4" spans="1:38" s="23" customFormat="1" ht="42" customHeight="1">
      <c r="A4" s="80"/>
      <c r="B4" s="311" t="s">
        <v>225</v>
      </c>
      <c r="C4" s="80"/>
      <c r="D4" s="80"/>
      <c r="E4" s="80"/>
      <c r="F4" s="80"/>
      <c r="G4" s="80"/>
      <c r="H4" s="80"/>
      <c r="I4" s="80"/>
      <c r="J4" s="80"/>
      <c r="AF4"/>
      <c r="AG4"/>
      <c r="AH4"/>
      <c r="AI4"/>
      <c r="AJ4"/>
      <c r="AK4"/>
      <c r="AL4"/>
    </row>
    <row r="5" spans="1:38" s="23" customFormat="1" ht="15.75" thickBot="1">
      <c r="G5" s="279"/>
      <c r="I5" s="280"/>
      <c r="J5" s="280"/>
      <c r="K5" s="280"/>
    </row>
    <row r="6" spans="1:38" ht="30.75" thickBot="1">
      <c r="B6" s="39" t="s">
        <v>226</v>
      </c>
      <c r="C6" t="s">
        <v>227</v>
      </c>
      <c r="F6" s="40" t="s">
        <v>228</v>
      </c>
      <c r="G6" s="37" t="s">
        <v>229</v>
      </c>
      <c r="I6" s="39" t="s">
        <v>230</v>
      </c>
      <c r="J6" s="61" t="s">
        <v>231</v>
      </c>
      <c r="K6" s="63" t="s">
        <v>232</v>
      </c>
    </row>
    <row r="7" spans="1:38">
      <c r="B7">
        <v>1</v>
      </c>
      <c r="C7" s="36" t="s">
        <v>233</v>
      </c>
      <c r="D7" s="138"/>
      <c r="F7">
        <v>1</v>
      </c>
      <c r="G7" s="38" t="s">
        <v>234</v>
      </c>
      <c r="I7" s="13">
        <v>0.5</v>
      </c>
      <c r="J7" s="62">
        <f t="shared" ref="J7:J9" si="0">I7*100/60</f>
        <v>0.83333333333333337</v>
      </c>
      <c r="K7" s="64" t="s">
        <v>235</v>
      </c>
    </row>
    <row r="8" spans="1:38">
      <c r="B8">
        <v>2</v>
      </c>
      <c r="C8" s="36" t="s">
        <v>236</v>
      </c>
      <c r="D8" s="138"/>
      <c r="F8">
        <v>2</v>
      </c>
      <c r="G8" s="38" t="s">
        <v>237</v>
      </c>
      <c r="I8" s="13">
        <v>0.7</v>
      </c>
      <c r="J8" s="62">
        <f t="shared" si="0"/>
        <v>1.1666666666666667</v>
      </c>
      <c r="K8" s="62" t="s">
        <v>238</v>
      </c>
    </row>
    <row r="9" spans="1:38" ht="15.75" thickBot="1">
      <c r="B9">
        <v>3</v>
      </c>
      <c r="C9" s="36" t="s">
        <v>239</v>
      </c>
      <c r="D9" s="138"/>
      <c r="F9">
        <v>3</v>
      </c>
      <c r="G9" s="38" t="s">
        <v>240</v>
      </c>
      <c r="I9" s="13">
        <v>0.9</v>
      </c>
      <c r="J9" s="62">
        <f t="shared" si="0"/>
        <v>1.5</v>
      </c>
      <c r="K9" s="65" t="s">
        <v>241</v>
      </c>
    </row>
    <row r="10" spans="1:38">
      <c r="B10">
        <v>4</v>
      </c>
      <c r="C10" s="36" t="s">
        <v>242</v>
      </c>
      <c r="D10" s="138"/>
      <c r="F10">
        <v>4</v>
      </c>
      <c r="G10" s="38" t="s">
        <v>243</v>
      </c>
      <c r="I10" s="280"/>
      <c r="J10" s="280"/>
      <c r="K10" s="280"/>
    </row>
    <row r="11" spans="1:38">
      <c r="B11">
        <v>5</v>
      </c>
      <c r="C11" s="36" t="s">
        <v>244</v>
      </c>
      <c r="D11" s="138"/>
      <c r="F11">
        <v>5</v>
      </c>
      <c r="G11" s="38" t="s">
        <v>245</v>
      </c>
      <c r="I11" s="280"/>
      <c r="J11" s="280"/>
      <c r="K11" s="280"/>
    </row>
    <row r="12" spans="1:38" s="23" customFormat="1">
      <c r="G12" s="279"/>
      <c r="I12" s="280"/>
      <c r="J12" s="280"/>
      <c r="K12" s="280"/>
    </row>
    <row r="13" spans="1:38">
      <c r="B13" s="2" t="s">
        <v>246</v>
      </c>
      <c r="C13" s="2"/>
      <c r="F13" s="23"/>
      <c r="G13" s="279"/>
      <c r="I13" s="280"/>
      <c r="J13" s="280"/>
      <c r="K13" s="280"/>
    </row>
    <row r="14" spans="1:38" ht="33.75" customHeight="1" thickBot="1">
      <c r="B14" s="186"/>
      <c r="F14" s="83" t="s">
        <v>247</v>
      </c>
      <c r="G14" s="61" t="s">
        <v>248</v>
      </c>
      <c r="I14" s="39" t="s">
        <v>249</v>
      </c>
      <c r="J14" s="89" t="s">
        <v>219</v>
      </c>
      <c r="K14" s="89" t="s">
        <v>221</v>
      </c>
    </row>
    <row r="15" spans="1:38" ht="14.45" customHeight="1">
      <c r="B15" s="187"/>
      <c r="F15">
        <v>1.04</v>
      </c>
      <c r="G15" s="38" t="s">
        <v>250</v>
      </c>
      <c r="I15" s="13" t="s">
        <v>251</v>
      </c>
      <c r="J15" s="62">
        <v>5.7</v>
      </c>
      <c r="K15" s="64">
        <v>11.45</v>
      </c>
      <c r="M15" s="215" t="s">
        <v>252</v>
      </c>
      <c r="N15" s="216"/>
      <c r="O15" s="217" t="s">
        <v>253</v>
      </c>
      <c r="P15" s="216"/>
      <c r="Q15" s="216"/>
      <c r="R15" s="216"/>
      <c r="S15" s="217"/>
      <c r="T15" s="218"/>
    </row>
    <row r="16" spans="1:38">
      <c r="B16" s="187"/>
      <c r="F16">
        <v>0.86</v>
      </c>
      <c r="G16" s="38" t="s">
        <v>238</v>
      </c>
      <c r="I16" s="13" t="s">
        <v>254</v>
      </c>
      <c r="J16" s="62">
        <v>-43</v>
      </c>
      <c r="K16" s="62">
        <v>25.9</v>
      </c>
      <c r="M16" s="219" t="s">
        <v>255</v>
      </c>
      <c r="N16" s="170"/>
      <c r="O16" s="220" t="s">
        <v>256</v>
      </c>
      <c r="P16" s="170"/>
      <c r="Q16" s="170"/>
      <c r="R16" s="170"/>
      <c r="S16" s="220"/>
      <c r="T16" s="221"/>
    </row>
    <row r="17" spans="2:20">
      <c r="B17" s="187"/>
      <c r="F17" s="84">
        <v>0.73</v>
      </c>
      <c r="G17" s="85" t="s">
        <v>257</v>
      </c>
      <c r="I17" s="280"/>
      <c r="J17" s="280"/>
      <c r="K17" s="280"/>
      <c r="M17" s="219" t="s">
        <v>258</v>
      </c>
      <c r="N17" s="170"/>
      <c r="O17" s="220" t="s">
        <v>259</v>
      </c>
      <c r="P17" s="170"/>
      <c r="Q17" s="170"/>
      <c r="R17" s="170"/>
      <c r="S17" s="220"/>
      <c r="T17" s="221"/>
    </row>
    <row r="18" spans="2:20">
      <c r="B18" s="187"/>
      <c r="F18" s="86">
        <v>1.18</v>
      </c>
      <c r="G18" s="87" t="s">
        <v>250</v>
      </c>
      <c r="I18" s="280"/>
      <c r="J18" s="280"/>
      <c r="K18" s="280"/>
      <c r="M18" s="219" t="s">
        <v>260</v>
      </c>
      <c r="N18" s="170"/>
      <c r="O18" s="220" t="s">
        <v>261</v>
      </c>
      <c r="P18" s="170"/>
      <c r="Q18" s="170"/>
      <c r="R18" s="170"/>
      <c r="S18" s="220"/>
      <c r="T18" s="221"/>
    </row>
    <row r="19" spans="2:20">
      <c r="F19">
        <v>0.67</v>
      </c>
      <c r="G19" s="38" t="s">
        <v>238</v>
      </c>
      <c r="I19" s="280"/>
      <c r="J19" s="280"/>
      <c r="K19" s="280"/>
      <c r="M19" s="219" t="s">
        <v>262</v>
      </c>
      <c r="N19" s="170"/>
      <c r="O19" s="220" t="s">
        <v>263</v>
      </c>
      <c r="P19" s="170"/>
      <c r="Q19" s="170"/>
      <c r="R19" s="170"/>
      <c r="S19" s="220"/>
      <c r="T19" s="221"/>
    </row>
    <row r="20" spans="2:20" ht="15.75" thickBot="1">
      <c r="B20" s="188"/>
      <c r="F20" s="4">
        <v>0.67</v>
      </c>
      <c r="G20" s="88" t="s">
        <v>257</v>
      </c>
      <c r="I20" s="280"/>
      <c r="J20" s="280"/>
      <c r="K20" s="280"/>
      <c r="M20" s="222"/>
      <c r="N20" s="170"/>
      <c r="O20" s="170"/>
      <c r="P20" s="170"/>
      <c r="Q20" s="170"/>
      <c r="R20" s="170"/>
      <c r="S20" s="170"/>
      <c r="T20" s="221"/>
    </row>
    <row r="21" spans="2:20">
      <c r="B21" s="189"/>
      <c r="F21" s="23"/>
      <c r="G21" s="279"/>
      <c r="I21" s="280"/>
      <c r="J21" s="280"/>
      <c r="K21" s="280"/>
      <c r="M21" s="223" t="s">
        <v>264</v>
      </c>
      <c r="N21" s="170"/>
      <c r="O21" s="170"/>
      <c r="P21" s="170"/>
      <c r="Q21" s="170"/>
      <c r="R21" s="170"/>
      <c r="S21" s="170"/>
      <c r="T21" s="221"/>
    </row>
    <row r="22" spans="2:20">
      <c r="F22" s="23"/>
      <c r="G22" s="279"/>
      <c r="I22" s="280"/>
      <c r="J22" s="280"/>
      <c r="K22" s="280"/>
      <c r="M22" s="224" t="s">
        <v>265</v>
      </c>
      <c r="N22" s="170"/>
      <c r="O22" s="225" t="s">
        <v>266</v>
      </c>
      <c r="P22" s="170"/>
      <c r="Q22" s="225" t="s">
        <v>267</v>
      </c>
      <c r="R22" s="170"/>
      <c r="S22" s="170"/>
      <c r="T22" s="221"/>
    </row>
    <row r="23" spans="2:20">
      <c r="F23" s="23"/>
      <c r="G23" s="279"/>
      <c r="I23" s="280"/>
      <c r="J23" s="280"/>
      <c r="K23" s="280"/>
      <c r="M23" s="222" t="s">
        <v>268</v>
      </c>
      <c r="N23" s="170"/>
      <c r="O23" s="220" t="s">
        <v>269</v>
      </c>
      <c r="P23" s="170"/>
      <c r="Q23" s="220" t="s">
        <v>270</v>
      </c>
      <c r="R23" s="170"/>
      <c r="S23" s="170"/>
      <c r="T23" s="221"/>
    </row>
    <row r="24" spans="2:20">
      <c r="F24" s="23"/>
      <c r="G24" s="279"/>
      <c r="I24" s="280"/>
      <c r="J24" s="280"/>
      <c r="K24" s="280"/>
      <c r="M24" s="222" t="s">
        <v>271</v>
      </c>
      <c r="N24" s="170"/>
      <c r="O24" s="220" t="s">
        <v>272</v>
      </c>
      <c r="P24" s="170"/>
      <c r="Q24" s="264" t="s">
        <v>273</v>
      </c>
      <c r="R24" s="170"/>
      <c r="S24" s="170"/>
      <c r="T24" s="221"/>
    </row>
    <row r="25" spans="2:20">
      <c r="E25" s="281"/>
      <c r="F25" s="23"/>
      <c r="G25" s="23"/>
      <c r="H25" s="281"/>
      <c r="I25" s="23"/>
      <c r="J25" s="280"/>
      <c r="K25" s="280"/>
      <c r="M25" s="222" t="s">
        <v>274</v>
      </c>
      <c r="N25" s="170"/>
      <c r="O25" s="220" t="s">
        <v>275</v>
      </c>
      <c r="P25" s="170"/>
      <c r="Q25" s="220" t="s">
        <v>276</v>
      </c>
      <c r="R25" s="170"/>
      <c r="S25" s="170"/>
      <c r="T25" s="221"/>
    </row>
    <row r="26" spans="2:20">
      <c r="E26" s="282"/>
      <c r="F26" s="23"/>
      <c r="G26" s="23"/>
      <c r="H26" s="282"/>
      <c r="I26" s="23"/>
      <c r="J26" s="280"/>
      <c r="K26" s="280"/>
      <c r="M26" s="222" t="s">
        <v>277</v>
      </c>
      <c r="N26" s="170"/>
      <c r="O26" s="220" t="s">
        <v>278</v>
      </c>
      <c r="P26" s="170"/>
      <c r="Q26" s="220" t="s">
        <v>279</v>
      </c>
      <c r="R26" s="170"/>
      <c r="S26" s="170"/>
      <c r="T26" s="221"/>
    </row>
    <row r="27" spans="2:20">
      <c r="C27" s="213"/>
      <c r="D27" s="287"/>
      <c r="E27" s="282"/>
      <c r="F27" s="23"/>
      <c r="G27" s="23"/>
      <c r="H27" s="282"/>
      <c r="I27" s="23"/>
      <c r="J27" s="280"/>
      <c r="K27" s="280"/>
      <c r="M27" s="222"/>
      <c r="N27" s="170"/>
      <c r="O27" s="170"/>
      <c r="P27" s="170"/>
      <c r="Q27" s="170"/>
      <c r="R27" s="170"/>
      <c r="S27" s="170"/>
      <c r="T27" s="221"/>
    </row>
    <row r="28" spans="2:20">
      <c r="B28" s="214"/>
      <c r="C28" s="214"/>
      <c r="D28" s="288"/>
      <c r="E28" s="282"/>
      <c r="F28" s="23"/>
      <c r="G28" s="23"/>
      <c r="H28" s="282"/>
      <c r="I28" s="292" t="s">
        <v>280</v>
      </c>
      <c r="J28" s="280"/>
      <c r="K28" s="280"/>
      <c r="M28" s="226"/>
      <c r="N28" s="227" t="s">
        <v>281</v>
      </c>
      <c r="O28" s="228"/>
      <c r="P28" s="229"/>
      <c r="Q28" s="230" t="s">
        <v>282</v>
      </c>
      <c r="R28" s="231"/>
      <c r="S28" s="170"/>
      <c r="T28" s="221"/>
    </row>
    <row r="29" spans="2:20">
      <c r="B29" s="187"/>
      <c r="E29" s="282"/>
      <c r="F29" s="23"/>
      <c r="G29" s="23"/>
      <c r="H29" s="282"/>
      <c r="I29" s="23"/>
      <c r="J29" s="280"/>
      <c r="K29" s="280"/>
      <c r="M29" s="232" t="s">
        <v>255</v>
      </c>
      <c r="N29" s="233" t="s">
        <v>258</v>
      </c>
      <c r="O29" s="233" t="s">
        <v>260</v>
      </c>
      <c r="P29" s="233" t="s">
        <v>262</v>
      </c>
      <c r="Q29" s="234" t="s">
        <v>283</v>
      </c>
      <c r="R29" s="235"/>
      <c r="S29" s="170"/>
      <c r="T29" s="221"/>
    </row>
    <row r="30" spans="2:20">
      <c r="B30" s="187"/>
      <c r="F30" s="23"/>
      <c r="G30" s="23"/>
      <c r="I30" s="23"/>
      <c r="J30" s="280"/>
      <c r="K30" s="280"/>
      <c r="M30" s="236" t="s">
        <v>284</v>
      </c>
      <c r="N30" s="237"/>
      <c r="O30" s="238" t="s">
        <v>268</v>
      </c>
      <c r="P30" s="231"/>
      <c r="Q30" s="237" t="s">
        <v>285</v>
      </c>
      <c r="R30" s="231"/>
      <c r="S30" s="170"/>
      <c r="T30" s="221"/>
    </row>
    <row r="31" spans="2:20">
      <c r="B31" s="187"/>
      <c r="F31" s="23"/>
      <c r="G31" s="23"/>
      <c r="I31" s="23"/>
      <c r="J31" s="280"/>
      <c r="K31" s="280"/>
      <c r="M31" s="239"/>
      <c r="N31" s="240"/>
      <c r="O31" s="241"/>
      <c r="P31" s="235"/>
      <c r="Q31" s="242" t="s">
        <v>286</v>
      </c>
      <c r="R31" s="243"/>
      <c r="S31" s="170"/>
      <c r="T31" s="221"/>
    </row>
    <row r="32" spans="2:20">
      <c r="B32" s="187"/>
      <c r="C32" s="187"/>
      <c r="D32" s="282"/>
      <c r="F32" s="281"/>
      <c r="G32" s="23"/>
      <c r="I32" s="23"/>
      <c r="J32" s="280"/>
      <c r="K32" s="280"/>
      <c r="M32" s="236" t="s">
        <v>287</v>
      </c>
      <c r="N32" s="244"/>
      <c r="O32" s="228" t="s">
        <v>288</v>
      </c>
      <c r="P32" s="229"/>
      <c r="Q32" s="240"/>
      <c r="R32" s="235"/>
      <c r="S32" s="170"/>
      <c r="T32" s="221"/>
    </row>
    <row r="33" spans="1:20">
      <c r="B33" s="187"/>
      <c r="F33" s="282"/>
      <c r="G33" s="23"/>
      <c r="I33" s="23"/>
      <c r="J33" s="280"/>
      <c r="K33" s="280"/>
      <c r="M33" s="239"/>
      <c r="N33" s="245" t="s">
        <v>284</v>
      </c>
      <c r="O33" s="246" t="s">
        <v>268</v>
      </c>
      <c r="P33" s="247"/>
      <c r="Q33" s="237" t="s">
        <v>289</v>
      </c>
      <c r="R33" s="231"/>
      <c r="S33" s="170"/>
      <c r="T33" s="221"/>
    </row>
    <row r="34" spans="1:20">
      <c r="B34" s="187"/>
      <c r="F34" s="282"/>
      <c r="G34" s="23"/>
      <c r="I34" s="23"/>
      <c r="J34" s="280"/>
      <c r="K34" s="280"/>
      <c r="M34" s="236"/>
      <c r="N34" s="244"/>
      <c r="O34" s="228" t="s">
        <v>268</v>
      </c>
      <c r="P34" s="229"/>
      <c r="Q34" s="240"/>
      <c r="R34" s="235"/>
      <c r="S34" s="170"/>
      <c r="T34" s="221"/>
    </row>
    <row r="35" spans="1:20">
      <c r="B35" s="187"/>
      <c r="E35" s="283"/>
      <c r="F35" s="282"/>
      <c r="G35" s="23"/>
      <c r="I35" s="23"/>
      <c r="J35" s="280"/>
      <c r="K35" s="280"/>
      <c r="M35" s="248" t="s">
        <v>290</v>
      </c>
      <c r="N35" s="249"/>
      <c r="O35" s="249"/>
      <c r="P35" s="249"/>
      <c r="Q35" s="237" t="s">
        <v>291</v>
      </c>
      <c r="R35" s="231"/>
      <c r="S35" s="170"/>
      <c r="T35" s="221"/>
    </row>
    <row r="36" spans="1:20">
      <c r="B36" s="187"/>
      <c r="F36" s="282"/>
      <c r="G36" s="23"/>
      <c r="I36" s="23"/>
      <c r="J36" s="280"/>
      <c r="K36" s="280"/>
      <c r="M36" s="248" t="s">
        <v>292</v>
      </c>
      <c r="N36" s="250" t="s">
        <v>287</v>
      </c>
      <c r="O36" s="250" t="s">
        <v>284</v>
      </c>
      <c r="P36" s="251" t="s">
        <v>268</v>
      </c>
      <c r="Q36" s="240" t="s">
        <v>286</v>
      </c>
      <c r="R36" s="235"/>
      <c r="S36" s="170"/>
      <c r="T36" s="221"/>
    </row>
    <row r="37" spans="1:20">
      <c r="F37" s="23"/>
      <c r="G37" s="23"/>
      <c r="I37" s="23"/>
      <c r="J37" s="280"/>
      <c r="K37" s="280"/>
      <c r="M37" s="239"/>
      <c r="N37" s="251"/>
      <c r="O37" s="251"/>
      <c r="P37" s="252" t="s">
        <v>284</v>
      </c>
      <c r="Q37" s="244" t="s">
        <v>293</v>
      </c>
      <c r="R37" s="229"/>
      <c r="S37" s="170"/>
      <c r="T37" s="221"/>
    </row>
    <row r="38" spans="1:20">
      <c r="F38" s="287"/>
      <c r="G38" s="23"/>
      <c r="I38" s="23"/>
      <c r="J38" s="280"/>
      <c r="K38" s="280"/>
      <c r="M38" s="253" t="s">
        <v>294</v>
      </c>
      <c r="N38" s="228"/>
      <c r="O38" s="228"/>
      <c r="P38" s="229"/>
      <c r="Q38" s="240"/>
      <c r="R38" s="235"/>
      <c r="S38" s="170"/>
      <c r="T38" s="221"/>
    </row>
    <row r="39" spans="1:20">
      <c r="F39" s="287"/>
      <c r="G39" s="23"/>
      <c r="I39" s="23"/>
      <c r="J39" s="280"/>
      <c r="K39" s="280"/>
      <c r="M39" s="226" t="s">
        <v>295</v>
      </c>
      <c r="N39" s="228"/>
      <c r="O39" s="228"/>
      <c r="P39" s="228"/>
      <c r="Q39" s="244" t="s">
        <v>296</v>
      </c>
      <c r="R39" s="229"/>
      <c r="S39" s="170"/>
      <c r="T39" s="221"/>
    </row>
    <row r="40" spans="1:20" ht="34.15" customHeight="1">
      <c r="B40" s="23"/>
      <c r="C40" s="23"/>
      <c r="F40" s="23"/>
      <c r="G40" s="23"/>
      <c r="I40" s="23"/>
      <c r="J40" s="280"/>
      <c r="K40" s="280"/>
      <c r="M40" s="658" t="s">
        <v>297</v>
      </c>
      <c r="N40" s="659"/>
      <c r="O40" s="659"/>
      <c r="P40" s="659"/>
      <c r="Q40" s="659"/>
      <c r="R40" s="659"/>
      <c r="S40" s="659"/>
      <c r="T40" s="660"/>
    </row>
    <row r="41" spans="1:20" s="12" customFormat="1" ht="26.45" customHeight="1">
      <c r="A41" s="81"/>
      <c r="B41" s="81"/>
      <c r="C41" s="81"/>
      <c r="D41" s="81"/>
      <c r="E41" s="81"/>
      <c r="F41" s="81"/>
      <c r="G41" s="81"/>
      <c r="H41" s="81"/>
      <c r="I41" s="81"/>
      <c r="J41" s="81"/>
      <c r="K41" s="293"/>
      <c r="L41" s="81"/>
      <c r="M41" s="254" t="s">
        <v>298</v>
      </c>
      <c r="N41" s="255"/>
      <c r="O41" s="255"/>
      <c r="P41" s="256" t="s">
        <v>299</v>
      </c>
      <c r="Q41" s="256"/>
      <c r="R41" s="256"/>
      <c r="S41" s="256"/>
      <c r="T41" s="257"/>
    </row>
    <row r="42" spans="1:20" s="12" customFormat="1" ht="26.45" customHeight="1">
      <c r="A42" s="81"/>
      <c r="B42" s="81"/>
      <c r="C42" s="81"/>
      <c r="D42" s="81"/>
      <c r="E42" s="81"/>
      <c r="F42" s="81"/>
      <c r="G42" s="81"/>
      <c r="H42" s="81"/>
      <c r="I42" s="81"/>
      <c r="J42" s="293"/>
      <c r="K42" s="293"/>
      <c r="L42" s="81"/>
      <c r="M42" s="254" t="s">
        <v>300</v>
      </c>
      <c r="N42" s="255"/>
      <c r="O42" s="255"/>
      <c r="P42" s="256" t="s">
        <v>301</v>
      </c>
      <c r="Q42" s="256"/>
      <c r="R42" s="256"/>
      <c r="S42" s="256"/>
      <c r="T42" s="257"/>
    </row>
    <row r="43" spans="1:20">
      <c r="B43" s="23"/>
      <c r="C43" s="23"/>
      <c r="F43" s="23"/>
      <c r="G43" s="23"/>
      <c r="I43" s="23"/>
      <c r="J43" s="280"/>
      <c r="K43" s="280"/>
      <c r="M43" s="654" t="s">
        <v>302</v>
      </c>
      <c r="N43" s="655"/>
      <c r="O43" s="655"/>
      <c r="P43" s="238" t="s">
        <v>303</v>
      </c>
      <c r="Q43" s="238"/>
      <c r="R43" s="238"/>
      <c r="S43" s="238"/>
      <c r="T43" s="258"/>
    </row>
    <row r="44" spans="1:20">
      <c r="B44" s="23"/>
      <c r="C44" s="23"/>
      <c r="F44" s="23"/>
      <c r="G44" s="23"/>
      <c r="I44" s="23"/>
      <c r="J44" s="280"/>
      <c r="K44" s="280"/>
      <c r="M44" s="656"/>
      <c r="N44" s="657"/>
      <c r="O44" s="657"/>
      <c r="P44" s="241" t="s">
        <v>304</v>
      </c>
      <c r="Q44" s="241"/>
      <c r="R44" s="241"/>
      <c r="S44" s="241"/>
      <c r="T44" s="259"/>
    </row>
    <row r="45" spans="1:20">
      <c r="B45" s="23"/>
      <c r="C45" s="23"/>
      <c r="F45" s="23"/>
      <c r="G45" s="23"/>
      <c r="I45" s="23"/>
      <c r="J45" s="280"/>
      <c r="K45" s="280"/>
      <c r="M45" s="654" t="s">
        <v>305</v>
      </c>
      <c r="N45" s="655"/>
      <c r="O45" s="655"/>
      <c r="P45" s="238" t="s">
        <v>306</v>
      </c>
      <c r="Q45" s="238"/>
      <c r="R45" s="238"/>
      <c r="S45" s="238"/>
      <c r="T45" s="258"/>
    </row>
    <row r="46" spans="1:20">
      <c r="B46" s="23"/>
      <c r="C46" s="23"/>
      <c r="F46" s="23"/>
      <c r="G46" s="23"/>
      <c r="I46" s="23"/>
      <c r="J46" s="280"/>
      <c r="K46" s="280"/>
      <c r="M46" s="656"/>
      <c r="N46" s="657"/>
      <c r="O46" s="657"/>
      <c r="P46" s="241" t="s">
        <v>307</v>
      </c>
      <c r="Q46" s="241"/>
      <c r="R46" s="241"/>
      <c r="S46" s="241"/>
      <c r="T46" s="259"/>
    </row>
    <row r="47" spans="1:20" ht="26.1" customHeight="1" thickBot="1">
      <c r="B47" s="282"/>
      <c r="C47" s="23"/>
      <c r="F47" s="23"/>
      <c r="G47" s="23"/>
      <c r="I47" s="23"/>
      <c r="J47" s="280"/>
      <c r="K47" s="280"/>
      <c r="M47" s="260" t="s">
        <v>308</v>
      </c>
      <c r="N47" s="261"/>
      <c r="O47" s="261"/>
      <c r="P47" s="262" t="s">
        <v>309</v>
      </c>
      <c r="Q47" s="262"/>
      <c r="R47" s="262"/>
      <c r="S47" s="262"/>
      <c r="T47" s="263"/>
    </row>
    <row r="48" spans="1:20">
      <c r="B48" s="23"/>
      <c r="C48" s="23"/>
      <c r="F48" s="23"/>
      <c r="G48" s="23"/>
      <c r="I48" s="23"/>
      <c r="J48" s="280"/>
      <c r="K48" s="280"/>
    </row>
    <row r="49" spans="2:9">
      <c r="B49" s="23"/>
      <c r="C49" s="23"/>
      <c r="F49" s="23"/>
      <c r="G49" s="23"/>
      <c r="I49"/>
    </row>
    <row r="50" spans="2:9">
      <c r="B50" s="23"/>
      <c r="C50" s="23"/>
      <c r="F50" s="23"/>
      <c r="G50" s="23"/>
      <c r="I50"/>
    </row>
    <row r="51" spans="2:9">
      <c r="B51" s="23"/>
      <c r="C51" s="23"/>
      <c r="F51" s="23"/>
      <c r="G51" s="23"/>
      <c r="I51"/>
    </row>
    <row r="52" spans="2:9">
      <c r="G52"/>
      <c r="I52"/>
    </row>
    <row r="53" spans="2:9">
      <c r="G53"/>
      <c r="I53"/>
    </row>
    <row r="54" spans="2:9">
      <c r="G54"/>
      <c r="I54"/>
    </row>
    <row r="55" spans="2:9">
      <c r="G55"/>
      <c r="I55"/>
    </row>
    <row r="56" spans="2:9">
      <c r="G56"/>
      <c r="I56"/>
    </row>
    <row r="57" spans="2:9">
      <c r="G57"/>
      <c r="I57"/>
    </row>
    <row r="73" spans="2:5" ht="15.75" thickBot="1"/>
    <row r="74" spans="2:5">
      <c r="B74" s="271" t="s">
        <v>255</v>
      </c>
      <c r="C74" s="272" t="s">
        <v>258</v>
      </c>
      <c r="D74" s="289" t="s">
        <v>260</v>
      </c>
      <c r="E74" s="284" t="s">
        <v>262</v>
      </c>
    </row>
    <row r="75" spans="2:5">
      <c r="B75" s="268"/>
      <c r="C75" s="266" t="s">
        <v>288</v>
      </c>
      <c r="D75" s="290" t="s">
        <v>288</v>
      </c>
      <c r="E75" s="285" t="s">
        <v>288</v>
      </c>
    </row>
    <row r="76" spans="2:5">
      <c r="B76" s="269" t="s">
        <v>268</v>
      </c>
      <c r="C76" s="267" t="s">
        <v>268</v>
      </c>
      <c r="D76" s="291" t="s">
        <v>268</v>
      </c>
      <c r="E76" s="286" t="s">
        <v>268</v>
      </c>
    </row>
    <row r="77" spans="2:5">
      <c r="B77" s="269" t="s">
        <v>284</v>
      </c>
      <c r="C77" s="267" t="s">
        <v>284</v>
      </c>
      <c r="D77" s="291" t="s">
        <v>284</v>
      </c>
      <c r="E77" s="286" t="s">
        <v>284</v>
      </c>
    </row>
    <row r="78" spans="2:5">
      <c r="B78" s="269" t="s">
        <v>274</v>
      </c>
      <c r="C78" s="661"/>
      <c r="D78" s="662"/>
      <c r="E78" s="663"/>
    </row>
    <row r="79" spans="2:5" ht="15.75" thickBot="1">
      <c r="B79" s="270" t="s">
        <v>277</v>
      </c>
      <c r="C79" s="664"/>
      <c r="D79" s="665"/>
      <c r="E79" s="666"/>
    </row>
  </sheetData>
  <sheetProtection algorithmName="SHA-512" hashValue="u20ru96sw5LGtAk5Ypqm5ZiDpJ30y7CVUWVYL+sR6FnA27vP449VpSCoeM5Y/aSZAtyxU58pdJEfVwkoXTkq3w==" saltValue="xiMETC3p9DphpxLoWMnjcA==" spinCount="100000" sheet="1" objects="1" scenarios="1" selectLockedCells="1"/>
  <mergeCells count="4">
    <mergeCell ref="M43:O44"/>
    <mergeCell ref="M45:O46"/>
    <mergeCell ref="M40:T40"/>
    <mergeCell ref="C78:E79"/>
  </mergeCells>
  <pageMargins left="0.25" right="0.25" top="0.75" bottom="0.75" header="0.3" footer="0.3"/>
  <pageSetup paperSize="8" scale="27" fitToWidth="0" orientation="landscape" r:id="rId1"/>
  <ignoredErrors>
    <ignoredError sqref="J15:J16" calculatedColumn="1"/>
  </ignoredErrors>
  <drawing r:id="rId2"/>
  <tableParts count="5">
    <tablePart r:id="rId3"/>
    <tablePart r:id="rId4"/>
    <tablePart r:id="rId5"/>
    <tablePart r:id="rId6"/>
    <tablePart r:id="rId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H36"/>
  <sheetViews>
    <sheetView showGridLines="0" showRowColHeaders="0" workbookViewId="0">
      <selection activeCell="E24" sqref="E24"/>
    </sheetView>
  </sheetViews>
  <sheetFormatPr defaultColWidth="11.42578125" defaultRowHeight="15"/>
  <sheetData>
    <row r="4" spans="2:8">
      <c r="B4" s="186" t="s">
        <v>252</v>
      </c>
      <c r="D4" s="186" t="s">
        <v>253</v>
      </c>
      <c r="H4" s="186"/>
    </row>
    <row r="5" spans="2:8">
      <c r="B5" s="187" t="s">
        <v>255</v>
      </c>
      <c r="D5" s="187" t="s">
        <v>256</v>
      </c>
      <c r="H5" s="187"/>
    </row>
    <row r="6" spans="2:8">
      <c r="B6" s="187" t="s">
        <v>258</v>
      </c>
      <c r="D6" s="187" t="s">
        <v>259</v>
      </c>
      <c r="H6" s="187"/>
    </row>
    <row r="7" spans="2:8">
      <c r="B7" s="187" t="s">
        <v>260</v>
      </c>
      <c r="D7" s="187" t="s">
        <v>261</v>
      </c>
      <c r="H7" s="187"/>
    </row>
    <row r="8" spans="2:8">
      <c r="B8" s="187" t="s">
        <v>262</v>
      </c>
      <c r="D8" s="187" t="s">
        <v>263</v>
      </c>
      <c r="H8" s="187"/>
    </row>
    <row r="10" spans="2:8">
      <c r="B10" s="188" t="s">
        <v>264</v>
      </c>
    </row>
    <row r="11" spans="2:8">
      <c r="B11" s="189" t="s">
        <v>265</v>
      </c>
      <c r="D11" s="186" t="s">
        <v>266</v>
      </c>
      <c r="F11" s="186" t="s">
        <v>267</v>
      </c>
    </row>
    <row r="12" spans="2:8">
      <c r="B12" t="s">
        <v>277</v>
      </c>
      <c r="D12" s="187" t="s">
        <v>278</v>
      </c>
      <c r="F12" s="187" t="s">
        <v>310</v>
      </c>
    </row>
    <row r="13" spans="2:8">
      <c r="B13" t="s">
        <v>274</v>
      </c>
      <c r="D13" s="187" t="s">
        <v>275</v>
      </c>
      <c r="F13" s="187" t="s">
        <v>311</v>
      </c>
    </row>
    <row r="14" spans="2:8">
      <c r="B14" t="s">
        <v>271</v>
      </c>
      <c r="D14" s="187" t="s">
        <v>272</v>
      </c>
      <c r="F14" s="187" t="s">
        <v>312</v>
      </c>
    </row>
    <row r="15" spans="2:8">
      <c r="B15" t="s">
        <v>268</v>
      </c>
      <c r="D15" s="187" t="s">
        <v>269</v>
      </c>
      <c r="F15" s="187" t="s">
        <v>313</v>
      </c>
    </row>
    <row r="17" spans="2:7">
      <c r="B17" s="190"/>
      <c r="C17" s="191" t="s">
        <v>281</v>
      </c>
      <c r="D17" s="192"/>
      <c r="E17" s="193"/>
      <c r="F17" s="194" t="s">
        <v>282</v>
      </c>
      <c r="G17" s="195"/>
    </row>
    <row r="18" spans="2:7">
      <c r="B18" s="196" t="s">
        <v>255</v>
      </c>
      <c r="C18" s="196" t="s">
        <v>258</v>
      </c>
      <c r="D18" s="196" t="s">
        <v>260</v>
      </c>
      <c r="E18" s="196" t="s">
        <v>262</v>
      </c>
      <c r="F18" s="197" t="s">
        <v>283</v>
      </c>
      <c r="G18" s="198"/>
    </row>
    <row r="19" spans="2:7">
      <c r="B19" s="199" t="s">
        <v>284</v>
      </c>
      <c r="C19" s="200"/>
      <c r="D19" s="86" t="s">
        <v>268</v>
      </c>
      <c r="E19" s="195"/>
      <c r="F19" s="200" t="s">
        <v>285</v>
      </c>
      <c r="G19" s="195"/>
    </row>
    <row r="20" spans="2:7">
      <c r="B20" s="201"/>
      <c r="C20" s="202"/>
      <c r="D20" s="84"/>
      <c r="E20" s="198"/>
      <c r="F20" s="203" t="s">
        <v>286</v>
      </c>
      <c r="G20" s="204"/>
    </row>
    <row r="21" spans="2:7">
      <c r="B21" s="199" t="s">
        <v>287</v>
      </c>
      <c r="C21" s="190"/>
      <c r="D21" s="192" t="s">
        <v>288</v>
      </c>
      <c r="E21" s="193"/>
      <c r="F21" s="202"/>
      <c r="G21" s="198"/>
    </row>
    <row r="22" spans="2:7">
      <c r="B22" s="201"/>
      <c r="C22" s="205" t="s">
        <v>284</v>
      </c>
      <c r="D22" s="206" t="s">
        <v>268</v>
      </c>
      <c r="E22" s="207"/>
      <c r="F22" s="200" t="s">
        <v>289</v>
      </c>
      <c r="G22" s="195"/>
    </row>
    <row r="23" spans="2:7">
      <c r="B23" s="199"/>
      <c r="C23" s="190"/>
      <c r="D23" s="192" t="s">
        <v>268</v>
      </c>
      <c r="E23" s="193"/>
      <c r="F23" s="202"/>
      <c r="G23" s="198"/>
    </row>
    <row r="24" spans="2:7">
      <c r="B24" s="208" t="s">
        <v>290</v>
      </c>
      <c r="C24" s="209"/>
      <c r="D24" s="209"/>
      <c r="E24" s="209"/>
      <c r="F24" s="200" t="s">
        <v>291</v>
      </c>
      <c r="G24" s="195"/>
    </row>
    <row r="25" spans="2:7">
      <c r="B25" s="208" t="s">
        <v>292</v>
      </c>
      <c r="C25" s="210" t="s">
        <v>287</v>
      </c>
      <c r="D25" s="210" t="s">
        <v>284</v>
      </c>
      <c r="E25" s="211" t="s">
        <v>268</v>
      </c>
      <c r="F25" s="202" t="s">
        <v>286</v>
      </c>
      <c r="G25" s="198"/>
    </row>
    <row r="26" spans="2:7">
      <c r="B26" s="201"/>
      <c r="C26" s="211"/>
      <c r="D26" s="211"/>
      <c r="E26" s="212" t="s">
        <v>284</v>
      </c>
      <c r="F26" s="190" t="s">
        <v>293</v>
      </c>
      <c r="G26" s="193"/>
    </row>
    <row r="27" spans="2:7">
      <c r="B27" s="212" t="s">
        <v>294</v>
      </c>
      <c r="C27" s="192"/>
      <c r="D27" s="192"/>
      <c r="E27" s="193"/>
      <c r="F27" s="202"/>
      <c r="G27" s="198"/>
    </row>
    <row r="28" spans="2:7">
      <c r="B28" s="190" t="s">
        <v>295</v>
      </c>
      <c r="C28" s="192"/>
      <c r="D28" s="192"/>
      <c r="E28" s="192"/>
      <c r="F28" s="190" t="s">
        <v>296</v>
      </c>
      <c r="G28" s="193"/>
    </row>
    <row r="29" spans="2:7">
      <c r="E29" s="213" t="s">
        <v>297</v>
      </c>
    </row>
    <row r="30" spans="2:7">
      <c r="B30" t="s">
        <v>314</v>
      </c>
      <c r="E30" t="s">
        <v>299</v>
      </c>
    </row>
    <row r="31" spans="2:7">
      <c r="B31" t="s">
        <v>300</v>
      </c>
      <c r="E31" t="s">
        <v>301</v>
      </c>
    </row>
    <row r="32" spans="2:7">
      <c r="B32" t="s">
        <v>302</v>
      </c>
      <c r="E32" t="s">
        <v>303</v>
      </c>
    </row>
    <row r="33" spans="2:5">
      <c r="E33" t="s">
        <v>304</v>
      </c>
    </row>
    <row r="34" spans="2:5">
      <c r="B34" t="s">
        <v>305</v>
      </c>
      <c r="E34" t="s">
        <v>306</v>
      </c>
    </row>
    <row r="35" spans="2:5">
      <c r="E35" t="s">
        <v>307</v>
      </c>
    </row>
    <row r="36" spans="2:5">
      <c r="B36" t="s">
        <v>315</v>
      </c>
      <c r="E36" t="s">
        <v>316</v>
      </c>
    </row>
  </sheetData>
  <sheetProtection algorithmName="SHA-512" hashValue="2E3tbyAoPlTPWLZwruCKN1R0HOMNff3OQQLB5A6rTBg74h4U0EO+1t9sCiHGf4MfpIwA8ovbYzJlkT6hcz1H6g==" saltValue="tlEECFwDtnq3vxjbtD7Ry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64"/>
  <sheetViews>
    <sheetView topLeftCell="E1" workbookViewId="0">
      <selection activeCell="S28" sqref="S28"/>
    </sheetView>
  </sheetViews>
  <sheetFormatPr defaultColWidth="11.42578125" defaultRowHeight="15"/>
  <sheetData>
    <row r="1" spans="1:20" ht="23.25">
      <c r="A1" s="400" t="s">
        <v>317</v>
      </c>
      <c r="J1" s="445" t="s">
        <v>318</v>
      </c>
      <c r="K1" s="444"/>
      <c r="L1" s="444"/>
      <c r="M1" s="444"/>
      <c r="N1" s="444"/>
      <c r="O1" s="443"/>
      <c r="P1" s="442"/>
    </row>
    <row r="2" spans="1:20">
      <c r="A2" t="s">
        <v>319</v>
      </c>
      <c r="D2" t="s">
        <v>320</v>
      </c>
      <c r="J2" s="440"/>
      <c r="M2" s="441"/>
      <c r="P2" s="424"/>
    </row>
    <row r="3" spans="1:20" ht="15.75" thickBot="1">
      <c r="B3" s="213">
        <v>8</v>
      </c>
      <c r="C3" s="213">
        <v>11</v>
      </c>
      <c r="D3" s="213">
        <v>14</v>
      </c>
      <c r="E3" s="213">
        <v>17</v>
      </c>
      <c r="F3" s="213">
        <v>20</v>
      </c>
      <c r="G3" s="213">
        <v>23</v>
      </c>
      <c r="H3" s="213">
        <v>26</v>
      </c>
      <c r="J3" s="440"/>
      <c r="O3" s="439" t="s">
        <v>321</v>
      </c>
      <c r="P3" s="438">
        <v>1</v>
      </c>
    </row>
    <row r="4" spans="1:20">
      <c r="A4" s="213">
        <v>15</v>
      </c>
      <c r="C4">
        <f t="shared" ref="C4:H4" si="0">SUM((26.1-8.2)+(0.344*C3))</f>
        <v>21.684000000000001</v>
      </c>
      <c r="D4">
        <f t="shared" si="0"/>
        <v>22.716000000000001</v>
      </c>
      <c r="E4">
        <f t="shared" si="0"/>
        <v>23.748000000000001</v>
      </c>
      <c r="F4">
        <f t="shared" si="0"/>
        <v>24.78</v>
      </c>
      <c r="G4">
        <f t="shared" si="0"/>
        <v>25.812000000000001</v>
      </c>
      <c r="H4">
        <f t="shared" si="0"/>
        <v>26.844000000000001</v>
      </c>
      <c r="J4" s="437" t="s">
        <v>322</v>
      </c>
      <c r="K4" s="436"/>
      <c r="L4" s="436"/>
      <c r="M4" s="436"/>
      <c r="N4" s="436"/>
      <c r="O4" s="421"/>
      <c r="P4" s="420"/>
    </row>
    <row r="5" spans="1:20" ht="15.75">
      <c r="A5" s="213">
        <v>20</v>
      </c>
      <c r="D5">
        <f>SUM((31-9)+(0.344*D3))</f>
        <v>26.815999999999999</v>
      </c>
      <c r="E5">
        <f>SUM((31-9)+(0.344*E3))</f>
        <v>27.847999999999999</v>
      </c>
      <c r="F5">
        <f>SUM((31-9)+(0.344*F3))</f>
        <v>28.88</v>
      </c>
      <c r="G5">
        <f>SUM((31-9)+(0.344*G3))</f>
        <v>29.911999999999999</v>
      </c>
      <c r="H5">
        <f>SUM((31-9)+(0.344*H3))</f>
        <v>30.943999999999999</v>
      </c>
      <c r="J5" s="435" t="s">
        <v>323</v>
      </c>
      <c r="K5" s="434"/>
      <c r="L5" s="434"/>
      <c r="M5" s="433"/>
      <c r="N5" s="433"/>
      <c r="O5" s="432"/>
      <c r="P5" s="431"/>
    </row>
    <row r="6" spans="1:20">
      <c r="A6" s="213">
        <v>15</v>
      </c>
      <c r="B6">
        <f>SUM((20.3-7.1)+(0.32*B3))</f>
        <v>15.760000000000002</v>
      </c>
      <c r="C6">
        <f>SUM((20.3-7.1)+(0.32*C3))</f>
        <v>16.720000000000002</v>
      </c>
      <c r="D6">
        <f>SUM((20.3-7.1)+(0.32*D3))</f>
        <v>17.68</v>
      </c>
      <c r="E6">
        <f>SUM((20.3-7.1)+(0.32*E3))</f>
        <v>18.64</v>
      </c>
      <c r="F6">
        <f>SUM((20.3-7.1)+(0.32*F3))</f>
        <v>19.600000000000001</v>
      </c>
      <c r="J6" s="430" t="s">
        <v>324</v>
      </c>
      <c r="K6" s="429"/>
      <c r="L6" s="410"/>
      <c r="M6" s="410" t="s">
        <v>325</v>
      </c>
      <c r="N6" s="410"/>
      <c r="O6" s="410"/>
      <c r="P6" s="409"/>
    </row>
    <row r="7" spans="1:20">
      <c r="A7" s="213">
        <v>20</v>
      </c>
      <c r="C7">
        <f>SUM((25-8.3)+(0.32*C3))</f>
        <v>20.22</v>
      </c>
      <c r="D7">
        <f>SUM((25-8.3)+(0.32*D3))</f>
        <v>21.18</v>
      </c>
      <c r="E7">
        <f>SUM((25-8.3)+(0.32*E3))</f>
        <v>22.14</v>
      </c>
      <c r="F7">
        <f>SUM((25-8.3)+(0.32*F3))</f>
        <v>23.1</v>
      </c>
      <c r="J7" s="406"/>
      <c r="K7" s="428">
        <v>22</v>
      </c>
      <c r="L7" s="428">
        <v>33.200000000000003</v>
      </c>
      <c r="M7" s="538">
        <v>34.9</v>
      </c>
      <c r="N7" s="539">
        <v>37.200000000000003</v>
      </c>
      <c r="O7" s="539">
        <v>46.6</v>
      </c>
      <c r="P7" s="540">
        <v>49.6</v>
      </c>
      <c r="Q7" s="555">
        <v>50.6</v>
      </c>
    </row>
    <row r="8" spans="1:20">
      <c r="A8" s="213"/>
      <c r="J8" s="406">
        <v>0</v>
      </c>
      <c r="K8" s="405">
        <f t="shared" ref="K8:Q17" si="1">(1-$J8/100)*(1-0.85*K$7/100-K$7/100)</f>
        <v>0.59299999999999997</v>
      </c>
      <c r="L8" s="405">
        <f t="shared" si="1"/>
        <v>0.38579999999999998</v>
      </c>
      <c r="M8" s="405">
        <f t="shared" si="1"/>
        <v>0.35435000000000005</v>
      </c>
      <c r="N8" s="405">
        <f t="shared" si="1"/>
        <v>0.31179999999999991</v>
      </c>
      <c r="O8" s="405">
        <f t="shared" si="1"/>
        <v>0.13789999999999997</v>
      </c>
      <c r="P8" s="404">
        <f t="shared" si="1"/>
        <v>8.2400000000000029E-2</v>
      </c>
      <c r="Q8" s="404">
        <f t="shared" si="1"/>
        <v>6.3900000000000068E-2</v>
      </c>
    </row>
    <row r="9" spans="1:20">
      <c r="A9" s="213"/>
      <c r="J9" s="406">
        <v>10</v>
      </c>
      <c r="K9" s="405">
        <f t="shared" si="1"/>
        <v>0.53369999999999995</v>
      </c>
      <c r="L9" s="405">
        <f t="shared" si="1"/>
        <v>0.34721999999999997</v>
      </c>
      <c r="M9" s="405">
        <f t="shared" si="1"/>
        <v>0.31891500000000006</v>
      </c>
      <c r="N9" s="405">
        <f t="shared" si="1"/>
        <v>0.28061999999999993</v>
      </c>
      <c r="O9" s="405">
        <f t="shared" si="1"/>
        <v>0.12410999999999997</v>
      </c>
      <c r="P9" s="404">
        <f t="shared" si="1"/>
        <v>7.4160000000000031E-2</v>
      </c>
      <c r="Q9" s="404">
        <f t="shared" si="1"/>
        <v>5.7510000000000061E-2</v>
      </c>
    </row>
    <row r="10" spans="1:20">
      <c r="A10" t="s">
        <v>326</v>
      </c>
      <c r="B10" t="str">
        <f>IF(FORSIDE!$H$14=8,FORSIDE!$D$20,"")</f>
        <v/>
      </c>
      <c r="C10" t="str">
        <f>IF(FORSIDE!$H$14=11,FORSIDE!$D$20,"")</f>
        <v/>
      </c>
      <c r="D10" t="str">
        <f>IF(FORSIDE!$H$14=14,FORSIDE!$D$20,"")</f>
        <v/>
      </c>
      <c r="E10">
        <f>IF(FORSIDE!$H$14=17,FORSIDE!$D$20,"")</f>
        <v>40</v>
      </c>
      <c r="F10" t="str">
        <f>IF(FORSIDE!$H$14=20,FORSIDE!$D$20,"")</f>
        <v/>
      </c>
      <c r="G10" t="str">
        <f>IF(FORSIDE!$H$14=23,FORSIDE!$D$20,"")</f>
        <v/>
      </c>
      <c r="H10" t="str">
        <f>IF(FORSIDE!$H$14=26,FORSIDE!$D$20,"")</f>
        <v/>
      </c>
      <c r="J10" s="406">
        <v>20</v>
      </c>
      <c r="K10" s="405">
        <f t="shared" si="1"/>
        <v>0.47439999999999999</v>
      </c>
      <c r="L10" s="405">
        <f t="shared" si="1"/>
        <v>0.30864000000000003</v>
      </c>
      <c r="M10" s="405">
        <f>(1-$J10/100)*(1-0.85*M$7/100-M$7/100)</f>
        <v>0.28348000000000007</v>
      </c>
      <c r="N10" s="405">
        <f t="shared" si="1"/>
        <v>0.24943999999999994</v>
      </c>
      <c r="O10" s="405">
        <f t="shared" si="1"/>
        <v>0.11031999999999997</v>
      </c>
      <c r="P10" s="404">
        <f t="shared" si="1"/>
        <v>6.592000000000002E-2</v>
      </c>
      <c r="Q10" s="404">
        <f t="shared" si="1"/>
        <v>5.1120000000000054E-2</v>
      </c>
    </row>
    <row r="11" spans="1:20">
      <c r="A11" t="s">
        <v>326</v>
      </c>
      <c r="B11" t="str">
        <f>IF(FORSIDE!$H$14=8,FORSIDE!$E$22,"")</f>
        <v/>
      </c>
      <c r="C11" t="str">
        <f>IF(FORSIDE!$H$14=11,FORSIDE!$E$22,"")</f>
        <v/>
      </c>
      <c r="D11" t="str">
        <f>IF(FORSIDE!$H$14=14,FORSIDE!$E$22,"")</f>
        <v/>
      </c>
      <c r="E11">
        <f>IF(FORSIDE!$H$14=17,FORSIDE!$E$22,"")</f>
        <v>26</v>
      </c>
      <c r="F11" t="str">
        <f>IF(FORSIDE!$H$14=20,FORSIDE!$E$22,"")</f>
        <v/>
      </c>
      <c r="G11" t="str">
        <f>IF(FORSIDE!$H$14=23,FORSIDE!$E$22,"")</f>
        <v/>
      </c>
      <c r="H11" t="str">
        <f>IF(FORSIDE!$H$14=26,FORSIDE!$E$22,"")</f>
        <v/>
      </c>
      <c r="J11" s="406">
        <v>30</v>
      </c>
      <c r="K11" s="405">
        <f t="shared" si="1"/>
        <v>0.41509999999999997</v>
      </c>
      <c r="L11" s="405">
        <f t="shared" si="1"/>
        <v>0.27005999999999997</v>
      </c>
      <c r="M11" s="405">
        <f t="shared" si="1"/>
        <v>0.24804500000000002</v>
      </c>
      <c r="N11" s="405">
        <f t="shared" si="1"/>
        <v>0.21825999999999993</v>
      </c>
      <c r="O11" s="405">
        <f t="shared" si="1"/>
        <v>9.6529999999999977E-2</v>
      </c>
      <c r="P11" s="404">
        <f t="shared" si="1"/>
        <v>5.7680000000000016E-2</v>
      </c>
      <c r="Q11" s="404">
        <f t="shared" si="1"/>
        <v>4.4730000000000047E-2</v>
      </c>
    </row>
    <row r="12" spans="1:20">
      <c r="J12" s="406">
        <v>40</v>
      </c>
      <c r="K12" s="405">
        <f t="shared" si="1"/>
        <v>0.35579999999999995</v>
      </c>
      <c r="L12" s="405">
        <f t="shared" si="1"/>
        <v>0.23147999999999996</v>
      </c>
      <c r="M12" s="405">
        <f t="shared" si="1"/>
        <v>0.21261000000000002</v>
      </c>
      <c r="N12" s="405">
        <f t="shared" si="1"/>
        <v>0.18707999999999994</v>
      </c>
      <c r="O12" s="405">
        <f t="shared" si="1"/>
        <v>8.273999999999998E-2</v>
      </c>
      <c r="P12" s="404">
        <f t="shared" si="1"/>
        <v>4.9440000000000019E-2</v>
      </c>
      <c r="Q12" s="404">
        <f t="shared" si="1"/>
        <v>3.8340000000000041E-2</v>
      </c>
    </row>
    <row r="13" spans="1:20">
      <c r="A13" t="s">
        <v>327</v>
      </c>
      <c r="B13" t="s">
        <v>320</v>
      </c>
      <c r="C13" s="427" t="s">
        <v>328</v>
      </c>
      <c r="J13" s="406">
        <v>50</v>
      </c>
      <c r="K13" s="405">
        <f t="shared" si="1"/>
        <v>0.29649999999999999</v>
      </c>
      <c r="L13" s="405">
        <f t="shared" si="1"/>
        <v>0.19289999999999999</v>
      </c>
      <c r="M13" s="405">
        <f t="shared" si="1"/>
        <v>0.17717500000000003</v>
      </c>
      <c r="N13" s="405">
        <f t="shared" si="1"/>
        <v>0.15589999999999996</v>
      </c>
      <c r="O13" s="405">
        <f t="shared" si="1"/>
        <v>6.8949999999999984E-2</v>
      </c>
      <c r="P13" s="404">
        <f t="shared" si="1"/>
        <v>4.1200000000000014E-2</v>
      </c>
      <c r="Q13" s="404">
        <f t="shared" si="1"/>
        <v>3.1950000000000034E-2</v>
      </c>
    </row>
    <row r="14" spans="1:20">
      <c r="A14" t="s">
        <v>9</v>
      </c>
      <c r="B14" s="187">
        <v>8</v>
      </c>
      <c r="C14" s="427" t="s">
        <v>329</v>
      </c>
      <c r="J14" s="406">
        <v>60</v>
      </c>
      <c r="K14" s="405">
        <f t="shared" si="1"/>
        <v>0.23719999999999999</v>
      </c>
      <c r="L14" s="405">
        <f t="shared" si="1"/>
        <v>0.15432000000000001</v>
      </c>
      <c r="M14" s="405">
        <f t="shared" si="1"/>
        <v>0.14174000000000003</v>
      </c>
      <c r="N14" s="405">
        <f t="shared" si="1"/>
        <v>0.12471999999999997</v>
      </c>
      <c r="O14" s="405">
        <f t="shared" si="1"/>
        <v>5.5159999999999987E-2</v>
      </c>
      <c r="P14" s="404">
        <f t="shared" si="1"/>
        <v>3.296000000000001E-2</v>
      </c>
      <c r="Q14" s="404">
        <f t="shared" si="1"/>
        <v>2.5560000000000027E-2</v>
      </c>
      <c r="T14" t="s">
        <v>330</v>
      </c>
    </row>
    <row r="15" spans="1:20">
      <c r="A15" t="s">
        <v>331</v>
      </c>
      <c r="B15" s="187">
        <v>11</v>
      </c>
      <c r="C15" s="427" t="s">
        <v>332</v>
      </c>
      <c r="J15" s="406">
        <v>70</v>
      </c>
      <c r="K15" s="405">
        <f t="shared" si="1"/>
        <v>0.17790000000000003</v>
      </c>
      <c r="L15" s="405">
        <f t="shared" si="1"/>
        <v>0.11574000000000001</v>
      </c>
      <c r="M15" s="405">
        <f t="shared" si="1"/>
        <v>0.10630500000000004</v>
      </c>
      <c r="N15" s="405">
        <f t="shared" si="1"/>
        <v>9.3539999999999984E-2</v>
      </c>
      <c r="O15" s="405">
        <f t="shared" si="1"/>
        <v>4.1369999999999997E-2</v>
      </c>
      <c r="P15" s="404">
        <f t="shared" si="1"/>
        <v>2.4720000000000013E-2</v>
      </c>
      <c r="Q15" s="404">
        <f t="shared" si="1"/>
        <v>1.9170000000000024E-2</v>
      </c>
    </row>
    <row r="16" spans="1:20">
      <c r="B16" s="187">
        <v>14</v>
      </c>
      <c r="J16" s="406">
        <v>80</v>
      </c>
      <c r="K16" s="405">
        <f t="shared" si="1"/>
        <v>0.11859999999999997</v>
      </c>
      <c r="L16" s="405">
        <f t="shared" si="1"/>
        <v>7.7159999999999979E-2</v>
      </c>
      <c r="M16" s="405">
        <f t="shared" si="1"/>
        <v>7.0869999999999989E-2</v>
      </c>
      <c r="N16" s="405">
        <f t="shared" si="1"/>
        <v>6.2359999999999971E-2</v>
      </c>
      <c r="O16" s="405">
        <f t="shared" si="1"/>
        <v>2.7579999999999986E-2</v>
      </c>
      <c r="P16" s="404">
        <f t="shared" si="1"/>
        <v>1.6480000000000002E-2</v>
      </c>
      <c r="Q16" s="404">
        <f t="shared" si="1"/>
        <v>1.278000000000001E-2</v>
      </c>
    </row>
    <row r="17" spans="2:17" ht="15.75" thickBot="1">
      <c r="B17" s="187">
        <v>17</v>
      </c>
      <c r="J17" s="403">
        <v>90</v>
      </c>
      <c r="K17" s="402">
        <f t="shared" si="1"/>
        <v>5.9299999999999985E-2</v>
      </c>
      <c r="L17" s="402">
        <f t="shared" si="1"/>
        <v>3.8579999999999989E-2</v>
      </c>
      <c r="M17" s="402">
        <f t="shared" si="1"/>
        <v>3.5434999999999994E-2</v>
      </c>
      <c r="N17" s="402">
        <f t="shared" si="1"/>
        <v>3.1179999999999986E-2</v>
      </c>
      <c r="O17" s="402">
        <f t="shared" si="1"/>
        <v>1.3789999999999993E-2</v>
      </c>
      <c r="P17" s="401">
        <f t="shared" si="1"/>
        <v>8.2400000000000008E-3</v>
      </c>
      <c r="Q17" s="401">
        <f t="shared" si="1"/>
        <v>6.3900000000000051E-3</v>
      </c>
    </row>
    <row r="18" spans="2:17" ht="15.75" thickBot="1">
      <c r="B18" s="187">
        <v>20</v>
      </c>
      <c r="J18" s="426"/>
      <c r="K18" s="425"/>
      <c r="L18" s="425"/>
      <c r="M18" s="425"/>
      <c r="N18" s="425"/>
      <c r="P18" s="424"/>
    </row>
    <row r="19" spans="2:17">
      <c r="B19" s="187">
        <v>23</v>
      </c>
      <c r="J19" s="423" t="s">
        <v>333</v>
      </c>
      <c r="K19" s="422"/>
      <c r="L19" s="422"/>
      <c r="M19" s="422"/>
      <c r="N19" s="422"/>
      <c r="O19" s="421"/>
      <c r="P19" s="420"/>
    </row>
    <row r="20" spans="2:17" ht="15.75">
      <c r="B20" s="187">
        <v>26</v>
      </c>
      <c r="J20" s="419" t="s">
        <v>334</v>
      </c>
      <c r="K20" s="418"/>
      <c r="L20" s="418"/>
      <c r="M20" s="418"/>
      <c r="N20" s="418"/>
      <c r="O20" s="417"/>
      <c r="P20" s="416"/>
    </row>
    <row r="21" spans="2:17">
      <c r="B21" s="415"/>
      <c r="J21" s="414" t="s">
        <v>324</v>
      </c>
      <c r="K21" s="413"/>
      <c r="L21" s="411"/>
      <c r="M21" s="412" t="s">
        <v>325</v>
      </c>
      <c r="N21" s="411"/>
      <c r="O21" s="410"/>
      <c r="P21" s="409"/>
    </row>
    <row r="22" spans="2:17">
      <c r="J22" s="408"/>
      <c r="K22" s="407">
        <f t="shared" ref="K22:Q22" si="2">K7</f>
        <v>22</v>
      </c>
      <c r="L22" s="407">
        <f t="shared" si="2"/>
        <v>33.200000000000003</v>
      </c>
      <c r="M22" s="407">
        <f t="shared" si="2"/>
        <v>34.9</v>
      </c>
      <c r="N22" s="407">
        <f t="shared" si="2"/>
        <v>37.200000000000003</v>
      </c>
      <c r="O22" s="407">
        <f t="shared" si="2"/>
        <v>46.6</v>
      </c>
      <c r="P22" s="541">
        <f t="shared" si="2"/>
        <v>49.6</v>
      </c>
      <c r="Q22" s="541">
        <f t="shared" si="2"/>
        <v>50.6</v>
      </c>
    </row>
    <row r="23" spans="2:17">
      <c r="J23" s="406">
        <v>0</v>
      </c>
      <c r="K23" s="405">
        <f t="shared" ref="K23:Q32" si="3">(1-$J23/100)*(1-0.85*K$22/100-K$22/100)/(1-K$22%)</f>
        <v>0.76025641025641022</v>
      </c>
      <c r="L23" s="405">
        <f t="shared" si="3"/>
        <v>0.57754491017964071</v>
      </c>
      <c r="M23" s="405">
        <f t="shared" si="3"/>
        <v>0.54431643625192017</v>
      </c>
      <c r="N23" s="405">
        <f t="shared" si="3"/>
        <v>0.49649681528662415</v>
      </c>
      <c r="O23" s="405">
        <f t="shared" si="3"/>
        <v>0.25823970037453176</v>
      </c>
      <c r="P23" s="404">
        <f t="shared" si="3"/>
        <v>0.16349206349206355</v>
      </c>
      <c r="Q23" s="404">
        <f t="shared" si="3"/>
        <v>0.12935222672064792</v>
      </c>
    </row>
    <row r="24" spans="2:17">
      <c r="J24" s="406">
        <v>10</v>
      </c>
      <c r="K24" s="405">
        <f t="shared" si="3"/>
        <v>0.6842307692307692</v>
      </c>
      <c r="L24" s="405">
        <f t="shared" si="3"/>
        <v>0.51979041916167668</v>
      </c>
      <c r="M24" s="405">
        <f t="shared" si="3"/>
        <v>0.48988479262672818</v>
      </c>
      <c r="N24" s="405">
        <f t="shared" si="3"/>
        <v>0.44684713375796176</v>
      </c>
      <c r="O24" s="405">
        <f t="shared" si="3"/>
        <v>0.23241573033707857</v>
      </c>
      <c r="P24" s="404">
        <f t="shared" si="3"/>
        <v>0.14714285714285721</v>
      </c>
      <c r="Q24" s="404">
        <f t="shared" si="3"/>
        <v>0.11641700404858311</v>
      </c>
    </row>
    <row r="25" spans="2:17">
      <c r="J25" s="406">
        <v>20</v>
      </c>
      <c r="K25" s="405">
        <f t="shared" si="3"/>
        <v>0.60820512820512818</v>
      </c>
      <c r="L25" s="405">
        <f t="shared" si="3"/>
        <v>0.46203592814371264</v>
      </c>
      <c r="M25" s="405">
        <f t="shared" si="3"/>
        <v>0.4354531490015362</v>
      </c>
      <c r="N25" s="405">
        <f t="shared" si="3"/>
        <v>0.39719745222929931</v>
      </c>
      <c r="O25" s="405">
        <f t="shared" si="3"/>
        <v>0.20659176029962542</v>
      </c>
      <c r="P25" s="404">
        <f t="shared" si="3"/>
        <v>0.13079365079365082</v>
      </c>
      <c r="Q25" s="404">
        <f t="shared" si="3"/>
        <v>0.10348178137651833</v>
      </c>
    </row>
    <row r="26" spans="2:17">
      <c r="J26" s="406">
        <v>30</v>
      </c>
      <c r="K26" s="405">
        <f t="shared" si="3"/>
        <v>0.53217948717948715</v>
      </c>
      <c r="L26" s="405">
        <f t="shared" si="3"/>
        <v>0.40428143712574849</v>
      </c>
      <c r="M26" s="405">
        <f t="shared" si="3"/>
        <v>0.38102150537634411</v>
      </c>
      <c r="N26" s="405">
        <f t="shared" si="3"/>
        <v>0.34754777070063686</v>
      </c>
      <c r="O26" s="405">
        <f t="shared" si="3"/>
        <v>0.18076779026217224</v>
      </c>
      <c r="P26" s="404">
        <f t="shared" si="3"/>
        <v>0.11444444444444447</v>
      </c>
      <c r="Q26" s="404">
        <f t="shared" si="3"/>
        <v>9.0546558704453536E-2</v>
      </c>
    </row>
    <row r="27" spans="2:17">
      <c r="B27" s="213"/>
      <c r="J27" s="406">
        <v>40</v>
      </c>
      <c r="K27" s="405">
        <f t="shared" si="3"/>
        <v>0.45615384615384608</v>
      </c>
      <c r="L27" s="405">
        <f t="shared" si="3"/>
        <v>0.34652694610778439</v>
      </c>
      <c r="M27" s="405">
        <f t="shared" si="3"/>
        <v>0.32658986175115212</v>
      </c>
      <c r="N27" s="405">
        <f t="shared" si="3"/>
        <v>0.29789808917197447</v>
      </c>
      <c r="O27" s="405">
        <f t="shared" si="3"/>
        <v>0.15494382022471906</v>
      </c>
      <c r="P27" s="404">
        <f t="shared" si="3"/>
        <v>9.8095238095238138E-2</v>
      </c>
      <c r="Q27" s="404">
        <f t="shared" si="3"/>
        <v>7.7611336032388747E-2</v>
      </c>
    </row>
    <row r="28" spans="2:17" ht="18">
      <c r="B28" s="400"/>
      <c r="J28" s="406">
        <v>50</v>
      </c>
      <c r="K28" s="405">
        <f t="shared" si="3"/>
        <v>0.38012820512820511</v>
      </c>
      <c r="L28" s="405">
        <f t="shared" si="3"/>
        <v>0.28877245508982036</v>
      </c>
      <c r="M28" s="405">
        <f t="shared" si="3"/>
        <v>0.27215821812596008</v>
      </c>
      <c r="N28" s="405">
        <f t="shared" si="3"/>
        <v>0.24824840764331207</v>
      </c>
      <c r="O28" s="405">
        <f t="shared" si="3"/>
        <v>0.12911985018726588</v>
      </c>
      <c r="P28" s="404">
        <f t="shared" si="3"/>
        <v>8.1746031746031775E-2</v>
      </c>
      <c r="Q28" s="404">
        <f t="shared" si="3"/>
        <v>6.4676113360323959E-2</v>
      </c>
    </row>
    <row r="29" spans="2:17">
      <c r="J29" s="406">
        <v>60</v>
      </c>
      <c r="K29" s="405">
        <f t="shared" si="3"/>
        <v>0.30410256410256409</v>
      </c>
      <c r="L29" s="405">
        <f t="shared" si="3"/>
        <v>0.23101796407185632</v>
      </c>
      <c r="M29" s="405">
        <f t="shared" si="3"/>
        <v>0.2177265745007681</v>
      </c>
      <c r="N29" s="405">
        <f t="shared" si="3"/>
        <v>0.19859872611464965</v>
      </c>
      <c r="O29" s="405">
        <f t="shared" si="3"/>
        <v>0.10329588014981271</v>
      </c>
      <c r="P29" s="404">
        <f t="shared" si="3"/>
        <v>6.5396825396825412E-2</v>
      </c>
      <c r="Q29" s="404">
        <f t="shared" si="3"/>
        <v>5.1740890688259163E-2</v>
      </c>
    </row>
    <row r="30" spans="2:17">
      <c r="J30" s="406">
        <v>70</v>
      </c>
      <c r="K30" s="405">
        <f t="shared" si="3"/>
        <v>0.22807692307692312</v>
      </c>
      <c r="L30" s="405">
        <f t="shared" si="3"/>
        <v>0.17326347305389225</v>
      </c>
      <c r="M30" s="405">
        <f t="shared" si="3"/>
        <v>0.16329493087557609</v>
      </c>
      <c r="N30" s="405">
        <f t="shared" si="3"/>
        <v>0.14894904458598726</v>
      </c>
      <c r="O30" s="405">
        <f t="shared" si="3"/>
        <v>7.7471910112359543E-2</v>
      </c>
      <c r="P30" s="404">
        <f t="shared" si="3"/>
        <v>4.9047619047619076E-2</v>
      </c>
      <c r="Q30" s="404">
        <f t="shared" si="3"/>
        <v>3.8805668016194381E-2</v>
      </c>
    </row>
    <row r="31" spans="2:17">
      <c r="J31" s="406">
        <v>80</v>
      </c>
      <c r="K31" s="405">
        <f t="shared" si="3"/>
        <v>0.15205128205128202</v>
      </c>
      <c r="L31" s="405">
        <f t="shared" si="3"/>
        <v>0.11550898203592812</v>
      </c>
      <c r="M31" s="405">
        <f t="shared" si="3"/>
        <v>0.10886328725038401</v>
      </c>
      <c r="N31" s="405">
        <f t="shared" si="3"/>
        <v>9.9299363057324813E-2</v>
      </c>
      <c r="O31" s="405">
        <f t="shared" si="3"/>
        <v>5.1647940074906341E-2</v>
      </c>
      <c r="P31" s="404">
        <f t="shared" si="3"/>
        <v>3.2698412698412699E-2</v>
      </c>
      <c r="Q31" s="404">
        <f t="shared" si="3"/>
        <v>2.5870445344129574E-2</v>
      </c>
    </row>
    <row r="32" spans="2:17" ht="15.75" thickBot="1">
      <c r="J32" s="403">
        <v>90</v>
      </c>
      <c r="K32" s="402">
        <f t="shared" si="3"/>
        <v>7.6025641025641008E-2</v>
      </c>
      <c r="L32" s="402">
        <f t="shared" si="3"/>
        <v>5.7754491017964059E-2</v>
      </c>
      <c r="M32" s="402">
        <f t="shared" si="3"/>
        <v>5.4431643625192004E-2</v>
      </c>
      <c r="N32" s="402">
        <f t="shared" si="3"/>
        <v>4.9649681528662407E-2</v>
      </c>
      <c r="O32" s="402">
        <f t="shared" si="3"/>
        <v>2.5823970037453171E-2</v>
      </c>
      <c r="P32" s="401">
        <f t="shared" si="3"/>
        <v>1.6349206349206349E-2</v>
      </c>
      <c r="Q32" s="401">
        <f t="shared" si="3"/>
        <v>1.2935222672064787E-2</v>
      </c>
    </row>
    <row r="39" spans="2:2">
      <c r="B39" s="213"/>
    </row>
    <row r="40" spans="2:2" ht="18">
      <c r="B40" s="400"/>
    </row>
    <row r="51" spans="2:2">
      <c r="B51" s="213"/>
    </row>
    <row r="52" spans="2:2" ht="18">
      <c r="B52" s="400"/>
    </row>
    <row r="63" spans="2:2">
      <c r="B63" s="213"/>
    </row>
    <row r="64" spans="2:2" ht="18">
      <c r="B64" s="400"/>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1"/>
  <sheetViews>
    <sheetView workbookViewId="0">
      <selection activeCell="L10" sqref="L10"/>
    </sheetView>
  </sheetViews>
  <sheetFormatPr defaultColWidth="11.42578125" defaultRowHeight="15"/>
  <cols>
    <col min="1" max="1" width="7.7109375" customWidth="1"/>
    <col min="2" max="2" width="13.28515625" customWidth="1"/>
    <col min="3" max="3" width="12.140625" customWidth="1"/>
    <col min="4" max="4" width="12.42578125" customWidth="1"/>
    <col min="5" max="5" width="12.85546875" customWidth="1"/>
    <col min="6" max="6" width="13.140625" customWidth="1"/>
    <col min="7" max="7" width="13" customWidth="1"/>
    <col min="8" max="8" width="12.5703125" customWidth="1"/>
    <col min="9" max="9" width="5.42578125" style="346" customWidth="1"/>
  </cols>
  <sheetData>
    <row r="1" spans="1:16" ht="15.6" customHeight="1">
      <c r="A1" s="346"/>
      <c r="B1" s="346"/>
      <c r="C1" s="346"/>
      <c r="D1" s="346"/>
      <c r="E1" s="346"/>
      <c r="F1" s="346"/>
      <c r="G1" s="346"/>
      <c r="H1" s="346"/>
      <c r="J1" s="346"/>
      <c r="K1" s="346"/>
      <c r="L1" s="346"/>
      <c r="M1" s="346"/>
      <c r="N1" s="346"/>
      <c r="O1" s="346"/>
      <c r="P1" s="346"/>
    </row>
    <row r="2" spans="1:16" ht="36" customHeight="1">
      <c r="A2" s="345"/>
      <c r="B2" s="346"/>
      <c r="C2" s="448"/>
      <c r="D2" s="448"/>
      <c r="E2" s="575" t="s">
        <v>0</v>
      </c>
      <c r="F2" s="575"/>
      <c r="G2" s="575"/>
      <c r="H2" s="575"/>
      <c r="I2" s="575"/>
      <c r="J2" s="346"/>
      <c r="K2" s="346"/>
      <c r="L2" s="346"/>
      <c r="M2" s="346"/>
      <c r="N2" s="346"/>
      <c r="O2" s="346"/>
      <c r="P2" s="346"/>
    </row>
    <row r="3" spans="1:16" ht="23.45" customHeight="1" thickBot="1">
      <c r="A3" s="568"/>
      <c r="B3" s="568"/>
      <c r="C3" s="346"/>
      <c r="D3" s="347"/>
      <c r="E3" s="347"/>
      <c r="F3" s="348"/>
      <c r="G3" s="348"/>
      <c r="H3" s="348"/>
      <c r="I3" s="349"/>
      <c r="J3" s="346"/>
      <c r="K3" s="346"/>
      <c r="L3" s="346"/>
      <c r="M3" s="346"/>
      <c r="N3" s="346"/>
      <c r="O3" s="346"/>
      <c r="P3" s="346"/>
    </row>
    <row r="4" spans="1:16" ht="21" customHeight="1" thickTop="1" thickBot="1">
      <c r="A4" s="568" t="s">
        <v>42</v>
      </c>
      <c r="B4" s="568"/>
      <c r="C4" s="346"/>
      <c r="D4" s="346"/>
      <c r="E4" s="346"/>
      <c r="F4" s="346"/>
      <c r="G4" s="352" t="s">
        <v>2</v>
      </c>
      <c r="H4" s="456"/>
      <c r="J4" s="346"/>
      <c r="K4" s="346"/>
      <c r="L4" s="346"/>
      <c r="M4" s="346"/>
      <c r="N4" s="346"/>
      <c r="O4" s="346"/>
      <c r="P4" s="346"/>
    </row>
    <row r="5" spans="1:16" ht="18" customHeight="1" thickTop="1" thickBot="1">
      <c r="A5" s="346"/>
      <c r="B5" s="346"/>
      <c r="C5" s="346"/>
      <c r="D5" s="346"/>
      <c r="E5" s="346"/>
      <c r="F5" s="346"/>
      <c r="G5" s="352"/>
      <c r="H5" s="348"/>
      <c r="J5" s="346"/>
      <c r="K5" s="346"/>
      <c r="L5" s="346"/>
      <c r="M5" s="346"/>
      <c r="N5" s="346"/>
      <c r="O5" s="346"/>
      <c r="P5" s="346"/>
    </row>
    <row r="6" spans="1:16" ht="23.45" customHeight="1" thickTop="1" thickBot="1">
      <c r="A6" s="346"/>
      <c r="B6" s="352" t="s">
        <v>3</v>
      </c>
      <c r="C6" s="576" t="str">
        <f>FORSIDE!C12:E12</f>
        <v>Bjørk Bjørkesen</v>
      </c>
      <c r="D6" s="577"/>
      <c r="E6" s="578"/>
      <c r="F6" s="346"/>
      <c r="G6" s="352" t="s">
        <v>5</v>
      </c>
      <c r="H6" s="456"/>
      <c r="J6" s="346"/>
      <c r="K6" s="346"/>
      <c r="L6" s="346"/>
      <c r="M6" s="346"/>
      <c r="N6" s="346"/>
      <c r="O6" s="346"/>
      <c r="P6" s="346"/>
    </row>
    <row r="7" spans="1:16" ht="20.25" thickTop="1" thickBot="1">
      <c r="A7" s="356"/>
      <c r="B7" s="357"/>
      <c r="C7" s="356"/>
      <c r="D7" s="356"/>
      <c r="E7" s="579" t="s">
        <v>6</v>
      </c>
      <c r="F7" s="346"/>
      <c r="G7" s="357"/>
      <c r="H7" s="346"/>
      <c r="J7" s="346"/>
      <c r="K7" s="346"/>
      <c r="L7" s="346"/>
      <c r="M7" s="346"/>
      <c r="N7" s="346"/>
      <c r="O7" s="346"/>
      <c r="P7" s="346"/>
    </row>
    <row r="8" spans="1:16" ht="20.25" thickTop="1" thickBot="1">
      <c r="A8" s="346"/>
      <c r="B8" s="352" t="s">
        <v>7</v>
      </c>
      <c r="C8" s="456">
        <f>FORSIDE!C14</f>
        <v>30</v>
      </c>
      <c r="D8" s="357" t="s">
        <v>8</v>
      </c>
      <c r="E8" s="569"/>
      <c r="F8" s="464" t="str">
        <f>FORSIDE!F14</f>
        <v>Gran</v>
      </c>
      <c r="G8" s="352" t="s">
        <v>10</v>
      </c>
      <c r="H8" s="456">
        <v>17</v>
      </c>
      <c r="J8" s="346"/>
      <c r="K8" s="346"/>
      <c r="L8" s="346"/>
      <c r="M8" s="346"/>
      <c r="N8" s="346"/>
      <c r="O8" s="346"/>
      <c r="P8" s="346"/>
    </row>
    <row r="9" spans="1:16" ht="16.5" thickTop="1" thickBot="1">
      <c r="A9" s="346"/>
      <c r="B9" s="346"/>
      <c r="C9" s="346"/>
      <c r="D9" s="346"/>
      <c r="E9" s="569"/>
      <c r="F9" s="346"/>
      <c r="G9" s="346"/>
      <c r="H9" s="346"/>
      <c r="J9" s="346"/>
      <c r="K9" s="346"/>
      <c r="L9" s="346"/>
      <c r="M9" s="346"/>
      <c r="N9" s="346"/>
      <c r="O9" s="346"/>
      <c r="P9" s="346"/>
    </row>
    <row r="10" spans="1:16" ht="48" thickBot="1">
      <c r="A10" s="358"/>
      <c r="B10" s="346"/>
      <c r="C10" s="359" t="s">
        <v>11</v>
      </c>
      <c r="D10" s="360" t="s">
        <v>43</v>
      </c>
      <c r="E10" s="360" t="s">
        <v>44</v>
      </c>
      <c r="F10" s="360" t="s">
        <v>45</v>
      </c>
      <c r="G10" s="361" t="s">
        <v>15</v>
      </c>
      <c r="H10" s="566" t="s">
        <v>16</v>
      </c>
      <c r="I10" s="566"/>
      <c r="J10" s="346"/>
      <c r="K10" s="346"/>
      <c r="L10" s="346"/>
      <c r="M10" s="346"/>
      <c r="N10" s="346"/>
      <c r="O10" s="346"/>
      <c r="P10" s="346"/>
    </row>
    <row r="11" spans="1:16" ht="24" thickBot="1">
      <c r="A11" s="358"/>
      <c r="B11" s="346"/>
      <c r="C11" s="363">
        <v>1</v>
      </c>
      <c r="D11" s="364">
        <f>FORSIDE!D17</f>
        <v>40</v>
      </c>
      <c r="E11" s="364">
        <f>FORSIDE!E17</f>
        <v>200</v>
      </c>
      <c r="F11" s="364">
        <f>FORSIDE!F17</f>
        <v>80</v>
      </c>
      <c r="G11" s="364">
        <f>FORSIDE!G17</f>
        <v>18</v>
      </c>
      <c r="H11" s="364">
        <f>FORSIDE!H17</f>
        <v>16</v>
      </c>
      <c r="I11" s="368"/>
      <c r="J11" s="346"/>
      <c r="K11" s="346"/>
      <c r="L11" s="346"/>
      <c r="M11" s="346"/>
      <c r="N11" s="346"/>
      <c r="O11" s="346"/>
      <c r="P11" s="346"/>
    </row>
    <row r="12" spans="1:16" ht="24" thickBot="1">
      <c r="A12" s="346"/>
      <c r="B12" s="346"/>
      <c r="C12" s="363">
        <v>2</v>
      </c>
      <c r="D12" s="364">
        <f>FORSIDE!D18</f>
        <v>0</v>
      </c>
      <c r="E12" s="364">
        <f>FORSIDE!E18</f>
        <v>0</v>
      </c>
      <c r="F12" s="364">
        <f>FORSIDE!F18</f>
        <v>0</v>
      </c>
      <c r="G12" s="364">
        <f>FORSIDE!G18</f>
        <v>0</v>
      </c>
      <c r="H12" s="364" t="str">
        <f>FORSIDE!H18</f>
        <v/>
      </c>
      <c r="I12" s="372"/>
      <c r="J12" s="346"/>
      <c r="K12" s="346"/>
      <c r="L12" s="346"/>
      <c r="M12" s="346"/>
      <c r="N12" s="346"/>
      <c r="O12" s="346"/>
      <c r="P12" s="346"/>
    </row>
    <row r="13" spans="1:16" ht="24" thickBot="1">
      <c r="A13" s="346"/>
      <c r="B13" s="346"/>
      <c r="C13" s="363">
        <v>3</v>
      </c>
      <c r="D13" s="364">
        <f>FORSIDE!D19</f>
        <v>0</v>
      </c>
      <c r="E13" s="364">
        <f>FORSIDE!E19</f>
        <v>0</v>
      </c>
      <c r="F13" s="364">
        <f>FORSIDE!F19</f>
        <v>0</v>
      </c>
      <c r="G13" s="364">
        <f>FORSIDE!G19</f>
        <v>0</v>
      </c>
      <c r="H13" s="364" t="str">
        <f>FORSIDE!H19</f>
        <v/>
      </c>
      <c r="I13" s="372"/>
      <c r="J13" s="346"/>
      <c r="K13" s="346"/>
      <c r="L13" s="346"/>
      <c r="M13" s="346"/>
      <c r="N13" s="346"/>
      <c r="O13" s="346"/>
      <c r="P13" s="346"/>
    </row>
    <row r="14" spans="1:16" ht="27" thickBot="1">
      <c r="A14" s="346"/>
      <c r="B14" s="346"/>
      <c r="C14" s="376" t="s">
        <v>46</v>
      </c>
      <c r="D14" s="364">
        <f>FORSIDE!D20</f>
        <v>40</v>
      </c>
      <c r="E14" s="364">
        <f>FORSIDE!E20</f>
        <v>200</v>
      </c>
      <c r="F14" s="364">
        <f>FORSIDE!F20</f>
        <v>80</v>
      </c>
      <c r="G14" s="364">
        <f>FORSIDE!G20</f>
        <v>18</v>
      </c>
      <c r="H14" s="364">
        <f>FORSIDE!H20</f>
        <v>16</v>
      </c>
      <c r="I14" s="372"/>
      <c r="J14" s="346"/>
      <c r="K14" s="346"/>
      <c r="L14" s="346"/>
      <c r="M14" s="346"/>
      <c r="N14" s="346"/>
      <c r="O14" s="346"/>
      <c r="P14" s="346"/>
    </row>
    <row r="15" spans="1:16" s="346" customFormat="1" ht="18" customHeight="1" thickBot="1"/>
    <row r="16" spans="1:16" ht="23.25">
      <c r="A16" s="382"/>
      <c r="B16" s="573" t="s">
        <v>18</v>
      </c>
      <c r="C16" s="573"/>
      <c r="D16" s="574"/>
      <c r="E16" s="364">
        <f>FORSIDE!E22</f>
        <v>26</v>
      </c>
      <c r="F16" s="357" t="s">
        <v>47</v>
      </c>
      <c r="G16" s="357"/>
      <c r="H16" s="382"/>
      <c r="J16" s="346"/>
      <c r="K16" s="346"/>
      <c r="L16" s="346"/>
      <c r="M16" s="346"/>
      <c r="N16" s="346"/>
      <c r="O16" s="346"/>
      <c r="P16" s="346"/>
    </row>
    <row r="17" spans="1:16" ht="6.6" customHeight="1">
      <c r="A17" s="382"/>
      <c r="B17" s="449"/>
      <c r="C17" s="449"/>
      <c r="D17" s="449"/>
      <c r="E17" s="450"/>
      <c r="F17" s="357"/>
      <c r="G17" s="357"/>
      <c r="H17" s="382"/>
      <c r="J17" s="346"/>
      <c r="K17" s="346"/>
      <c r="L17" s="346"/>
      <c r="M17" s="346"/>
      <c r="N17" s="346"/>
      <c r="O17" s="346"/>
      <c r="P17" s="346"/>
    </row>
    <row r="18" spans="1:16" ht="23.25">
      <c r="A18" s="564" t="s">
        <v>20</v>
      </c>
      <c r="B18" s="564"/>
      <c r="C18" s="564"/>
      <c r="D18" s="564"/>
      <c r="E18" s="455">
        <f>'KOSTNAD RYDDETRÆR'!R14</f>
        <v>0</v>
      </c>
      <c r="F18" s="452" t="s">
        <v>21</v>
      </c>
      <c r="G18" s="357"/>
      <c r="H18" s="382"/>
      <c r="J18" s="346"/>
      <c r="K18" s="346"/>
      <c r="L18" s="346"/>
      <c r="M18" s="346"/>
      <c r="N18" s="346"/>
      <c r="O18" s="346"/>
      <c r="P18" s="346"/>
    </row>
    <row r="19" spans="1:16" ht="7.15" customHeight="1">
      <c r="A19" s="564"/>
      <c r="B19" s="564"/>
      <c r="C19" s="564"/>
      <c r="D19" s="564"/>
      <c r="E19" s="346"/>
      <c r="F19" s="357"/>
      <c r="G19" s="357"/>
      <c r="H19" s="382"/>
      <c r="J19" s="346"/>
      <c r="K19" s="346"/>
      <c r="L19" s="346"/>
      <c r="M19" s="346"/>
      <c r="N19" s="346"/>
      <c r="O19" s="346"/>
      <c r="P19" s="346"/>
    </row>
    <row r="20" spans="1:16" ht="26.45" customHeight="1">
      <c r="A20" s="561" t="s">
        <v>23</v>
      </c>
      <c r="B20" s="561"/>
      <c r="C20" s="561"/>
      <c r="D20" s="562"/>
      <c r="E20" s="453">
        <f>SUM((D14-E16)/D14)</f>
        <v>0.35</v>
      </c>
      <c r="F20" s="452" t="s">
        <v>24</v>
      </c>
      <c r="G20" s="384"/>
      <c r="H20" s="385"/>
      <c r="I20" s="451"/>
      <c r="J20" s="346"/>
      <c r="K20" s="346"/>
      <c r="L20" s="346"/>
      <c r="M20" s="346"/>
      <c r="N20" s="346"/>
      <c r="O20" s="346"/>
      <c r="P20" s="346"/>
    </row>
    <row r="21" spans="1:16" ht="20.100000000000001" customHeight="1">
      <c r="A21" s="561" t="s">
        <v>26</v>
      </c>
      <c r="B21" s="561"/>
      <c r="C21" s="561"/>
      <c r="D21" s="562"/>
      <c r="E21" s="386">
        <f>IF(F8="Gran",((-3.4837+(0.4451*D14*H14)+(1.0524*D14))/10),IF(F8="Furu",((24.4832+(0.5015*D14*H14)-(1.9794*H14))/10),IF(F8="Bjørk",((-0.66)+(0.3863*D14*H14)+(1.0203*D14))/10)))</f>
        <v>32.347629999999995</v>
      </c>
      <c r="F21" s="357" t="s">
        <v>48</v>
      </c>
      <c r="G21" s="387"/>
      <c r="H21" s="385"/>
      <c r="J21" s="346"/>
      <c r="K21" s="346"/>
      <c r="L21" s="346"/>
      <c r="M21" s="346"/>
      <c r="N21" s="346"/>
      <c r="O21" s="346"/>
      <c r="P21" s="346"/>
    </row>
    <row r="22" spans="1:16" ht="6" customHeight="1">
      <c r="A22" s="382"/>
      <c r="B22" s="382"/>
      <c r="C22" s="382"/>
      <c r="D22" s="382"/>
      <c r="E22" s="388"/>
      <c r="F22" s="357"/>
      <c r="G22" s="357"/>
      <c r="H22" s="382"/>
      <c r="J22" s="346"/>
      <c r="K22" s="346"/>
      <c r="L22" s="346"/>
      <c r="M22" s="346"/>
      <c r="N22" s="346"/>
      <c r="O22" s="346"/>
      <c r="P22" s="346"/>
    </row>
    <row r="23" spans="1:16" ht="20.100000000000001" customHeight="1">
      <c r="A23" s="567" t="s">
        <v>49</v>
      </c>
      <c r="B23" s="567"/>
      <c r="C23" s="567"/>
      <c r="D23" s="567"/>
      <c r="E23" s="389">
        <f>SUM((E20*E21)*0.8)+(F14*0.015*'KOSTNAD RYDDETRÆR'!R13)</f>
        <v>9.0573363999999987</v>
      </c>
      <c r="F23" s="357" t="s">
        <v>30</v>
      </c>
      <c r="G23" s="357"/>
      <c r="H23" s="382"/>
      <c r="J23" s="346"/>
      <c r="K23" s="346"/>
      <c r="L23" s="346"/>
      <c r="M23" s="346"/>
      <c r="N23" s="346"/>
      <c r="O23" s="346"/>
      <c r="P23" s="346"/>
    </row>
    <row r="24" spans="1:16" ht="6" customHeight="1">
      <c r="A24" s="382"/>
      <c r="B24" s="382"/>
      <c r="C24" s="382"/>
      <c r="D24" s="382"/>
      <c r="E24" s="388"/>
      <c r="F24" s="357"/>
      <c r="G24" s="357"/>
      <c r="H24" s="382"/>
      <c r="J24" s="346"/>
      <c r="K24" s="346"/>
      <c r="L24" s="346"/>
      <c r="M24" s="346"/>
      <c r="N24" s="346"/>
      <c r="O24" s="346"/>
      <c r="P24" s="346"/>
    </row>
    <row r="25" spans="1:16" ht="20.100000000000001" customHeight="1">
      <c r="A25" s="567" t="s">
        <v>31</v>
      </c>
      <c r="B25" s="567"/>
      <c r="C25" s="567"/>
      <c r="D25" s="567"/>
      <c r="E25" s="386">
        <f>SUM(E23*C8)</f>
        <v>271.72009199999997</v>
      </c>
      <c r="F25" s="390" t="s">
        <v>32</v>
      </c>
      <c r="G25" s="357"/>
      <c r="H25" s="382"/>
      <c r="J25" s="346"/>
      <c r="K25" s="346"/>
      <c r="L25" s="346"/>
      <c r="M25" s="346"/>
      <c r="N25" s="346"/>
      <c r="O25" s="346"/>
      <c r="P25" s="346"/>
    </row>
    <row r="26" spans="1:16" ht="6" customHeight="1">
      <c r="A26" s="391"/>
      <c r="B26" s="391"/>
      <c r="C26" s="391"/>
      <c r="D26" s="391"/>
      <c r="E26" s="388"/>
      <c r="F26" s="357"/>
      <c r="G26" s="357"/>
      <c r="H26" s="382"/>
      <c r="J26" s="346"/>
      <c r="K26" s="346"/>
      <c r="L26" s="346"/>
      <c r="M26" s="346"/>
      <c r="N26" s="346"/>
      <c r="O26" s="346"/>
      <c r="P26" s="346"/>
    </row>
    <row r="27" spans="1:16" ht="20.100000000000001" customHeight="1">
      <c r="A27" s="561" t="s">
        <v>34</v>
      </c>
      <c r="B27" s="561"/>
      <c r="C27" s="561"/>
      <c r="D27" s="562"/>
      <c r="E27" s="386">
        <f>SUM((1-(E20*1.111))*E14)</f>
        <v>122.23000000000002</v>
      </c>
      <c r="F27" s="357" t="s">
        <v>37</v>
      </c>
      <c r="G27" s="357"/>
      <c r="H27" s="382"/>
      <c r="J27" s="346"/>
      <c r="K27" s="346"/>
      <c r="L27" s="346"/>
      <c r="M27" s="346"/>
      <c r="N27" s="346"/>
      <c r="O27" s="346"/>
      <c r="P27" s="346"/>
    </row>
    <row r="28" spans="1:16" ht="6" customHeight="1">
      <c r="A28" s="382"/>
      <c r="B28" s="382"/>
      <c r="C28" s="382"/>
      <c r="D28" s="382"/>
      <c r="E28" s="388"/>
      <c r="F28" s="357"/>
      <c r="G28" s="357"/>
      <c r="H28" s="382"/>
      <c r="J28" s="346"/>
      <c r="K28" s="346"/>
      <c r="L28" s="346"/>
      <c r="M28" s="346"/>
      <c r="N28" s="346"/>
      <c r="O28" s="346"/>
      <c r="P28" s="346"/>
    </row>
    <row r="29" spans="1:16" ht="20.100000000000001" customHeight="1">
      <c r="A29" s="561" t="s">
        <v>36</v>
      </c>
      <c r="B29" s="561"/>
      <c r="C29" s="561"/>
      <c r="D29" s="562"/>
      <c r="E29" s="392">
        <f>SUM(E23/((E14+(E18*F14))-E27))</f>
        <v>0.11646311431143115</v>
      </c>
      <c r="F29" s="357" t="s">
        <v>37</v>
      </c>
      <c r="G29" s="357"/>
      <c r="H29" s="382"/>
      <c r="J29" s="346"/>
      <c r="K29" s="346"/>
      <c r="L29" s="346"/>
      <c r="M29" s="346"/>
      <c r="N29" s="346"/>
      <c r="O29" s="346"/>
      <c r="P29" s="346"/>
    </row>
    <row r="30" spans="1:16" ht="6" customHeight="1">
      <c r="A30" s="382"/>
      <c r="B30" s="382"/>
      <c r="C30" s="382"/>
      <c r="D30" s="382"/>
      <c r="E30" s="388"/>
      <c r="F30" s="357"/>
      <c r="G30" s="357"/>
      <c r="H30" s="382"/>
      <c r="J30" s="346"/>
      <c r="K30" s="346"/>
      <c r="L30" s="346"/>
      <c r="M30" s="346"/>
      <c r="N30" s="346"/>
      <c r="O30" s="346"/>
      <c r="P30" s="346"/>
    </row>
    <row r="31" spans="1:16" ht="20.100000000000001" customHeight="1">
      <c r="A31" s="382"/>
      <c r="B31" s="561" t="s">
        <v>36</v>
      </c>
      <c r="C31" s="561"/>
      <c r="D31" s="562"/>
      <c r="E31" s="386">
        <f>1/E29</f>
        <v>8.5864095762193386</v>
      </c>
      <c r="F31" s="357" t="s">
        <v>38</v>
      </c>
      <c r="G31" s="357"/>
      <c r="H31" s="382"/>
      <c r="J31" s="346"/>
      <c r="K31" s="346"/>
      <c r="L31" s="346"/>
      <c r="M31" s="346"/>
      <c r="N31" s="346"/>
      <c r="O31" s="346"/>
      <c r="P31" s="346"/>
    </row>
    <row r="32" spans="1:16" ht="23.25">
      <c r="A32" s="382"/>
      <c r="B32" s="382"/>
      <c r="C32" s="382"/>
      <c r="D32" s="382"/>
      <c r="E32" s="388"/>
      <c r="F32" s="357"/>
      <c r="G32" s="357"/>
      <c r="H32" s="382"/>
      <c r="J32" s="346"/>
      <c r="K32" s="346"/>
      <c r="L32" s="346"/>
      <c r="M32" s="346"/>
      <c r="N32" s="346"/>
      <c r="O32" s="346"/>
      <c r="P32" s="346"/>
    </row>
    <row r="33" spans="1:16">
      <c r="A33" s="346"/>
      <c r="B33" s="346"/>
      <c r="C33" s="346"/>
      <c r="D33" s="346"/>
      <c r="E33" s="346"/>
      <c r="F33" s="346"/>
      <c r="G33" s="346"/>
      <c r="H33" s="346"/>
      <c r="J33" s="346"/>
      <c r="K33" s="346"/>
      <c r="L33" s="346"/>
      <c r="M33" s="346"/>
      <c r="N33" s="346"/>
      <c r="O33" s="346"/>
      <c r="P33" s="346"/>
    </row>
    <row r="34" spans="1:16">
      <c r="A34" s="346"/>
      <c r="B34" s="346"/>
      <c r="C34" s="346"/>
      <c r="D34" s="346"/>
      <c r="E34" s="346"/>
      <c r="F34" s="346"/>
      <c r="G34" s="346"/>
      <c r="H34" s="346"/>
      <c r="J34" s="346"/>
      <c r="K34" s="346"/>
      <c r="L34" s="346"/>
      <c r="M34" s="346"/>
      <c r="N34" s="346"/>
      <c r="O34" s="346"/>
      <c r="P34" s="346"/>
    </row>
    <row r="35" spans="1:16">
      <c r="A35" s="346"/>
      <c r="B35" s="346"/>
      <c r="C35" s="346"/>
      <c r="D35" s="346"/>
      <c r="E35" s="346"/>
      <c r="F35" s="346"/>
      <c r="G35" s="346"/>
      <c r="H35" s="346"/>
      <c r="J35" s="346"/>
      <c r="K35" s="346"/>
      <c r="L35" s="346"/>
      <c r="M35" s="346"/>
      <c r="N35" s="346"/>
      <c r="O35" s="346"/>
      <c r="P35" s="346"/>
    </row>
    <row r="36" spans="1:16">
      <c r="A36" s="346"/>
      <c r="B36" s="346"/>
      <c r="C36" s="346"/>
      <c r="D36" s="346"/>
      <c r="E36" s="346"/>
      <c r="F36" s="346"/>
      <c r="G36" s="346"/>
      <c r="H36" s="346"/>
      <c r="J36" s="346"/>
      <c r="K36" s="346"/>
      <c r="L36" s="346"/>
      <c r="M36" s="346"/>
      <c r="N36" s="346"/>
      <c r="O36" s="346"/>
      <c r="P36" s="346"/>
    </row>
    <row r="37" spans="1:16">
      <c r="A37" s="346"/>
      <c r="B37" s="346"/>
      <c r="C37" s="346"/>
      <c r="D37" s="346"/>
      <c r="E37" s="346"/>
      <c r="F37" s="346"/>
      <c r="G37" s="346"/>
      <c r="H37" s="346"/>
      <c r="J37" s="346"/>
      <c r="K37" s="346"/>
      <c r="L37" s="346"/>
      <c r="M37" s="346"/>
      <c r="N37" s="346"/>
      <c r="O37" s="346"/>
      <c r="P37" s="346"/>
    </row>
    <row r="38" spans="1:16">
      <c r="A38" s="346"/>
      <c r="B38" s="346"/>
      <c r="C38" s="346"/>
      <c r="D38" s="346"/>
      <c r="E38" s="346"/>
      <c r="F38" s="346"/>
      <c r="G38" s="346"/>
      <c r="H38" s="346"/>
      <c r="J38" s="346"/>
      <c r="K38" s="346"/>
      <c r="L38" s="346"/>
      <c r="M38" s="346"/>
      <c r="N38" s="346"/>
      <c r="O38" s="346"/>
      <c r="P38" s="346"/>
    </row>
    <row r="39" spans="1:16">
      <c r="A39" s="346"/>
      <c r="B39" s="346"/>
      <c r="C39" s="346"/>
      <c r="D39" s="346"/>
      <c r="E39" s="346"/>
      <c r="F39" s="346"/>
      <c r="G39" s="346"/>
      <c r="H39" s="346"/>
      <c r="J39" s="346"/>
      <c r="K39" s="346"/>
      <c r="L39" s="346"/>
      <c r="M39" s="346"/>
      <c r="N39" s="346"/>
      <c r="O39" s="346"/>
      <c r="P39" s="346"/>
    </row>
    <row r="40" spans="1:16">
      <c r="A40" s="346"/>
      <c r="B40" s="346"/>
      <c r="C40" s="346"/>
      <c r="D40" s="346"/>
      <c r="E40" s="346"/>
      <c r="F40" s="346"/>
      <c r="G40" s="346"/>
      <c r="H40" s="346"/>
      <c r="J40" s="346"/>
      <c r="K40" s="346"/>
      <c r="L40" s="346"/>
      <c r="M40" s="346"/>
      <c r="N40" s="346"/>
      <c r="O40" s="346"/>
      <c r="P40" s="346"/>
    </row>
    <row r="41" spans="1:16" ht="12.75" customHeight="1">
      <c r="A41" s="346"/>
      <c r="B41" s="346"/>
      <c r="C41" s="346"/>
      <c r="D41" s="346"/>
      <c r="E41" s="346"/>
      <c r="F41" s="346"/>
      <c r="G41" s="346"/>
      <c r="H41" s="346"/>
      <c r="J41" s="346"/>
      <c r="K41" s="346"/>
      <c r="L41" s="346"/>
      <c r="M41" s="346"/>
      <c r="N41" s="346"/>
      <c r="O41" s="346"/>
      <c r="P41" s="346"/>
    </row>
    <row r="42" spans="1:16">
      <c r="A42" s="346"/>
      <c r="B42" s="346"/>
      <c r="C42" s="346"/>
      <c r="D42" s="346"/>
      <c r="E42" s="346"/>
      <c r="F42" s="346"/>
      <c r="G42" s="346"/>
      <c r="H42" s="346"/>
      <c r="J42" s="346"/>
      <c r="K42" s="346"/>
      <c r="L42" s="346"/>
      <c r="M42" s="346"/>
      <c r="N42" s="346"/>
      <c r="O42" s="346"/>
      <c r="P42" s="346"/>
    </row>
    <row r="43" spans="1:16">
      <c r="A43" s="346"/>
      <c r="B43" s="346"/>
      <c r="C43" s="346"/>
      <c r="D43" s="346"/>
      <c r="E43" s="346"/>
      <c r="F43" s="346"/>
      <c r="G43" s="346"/>
      <c r="H43" s="346"/>
      <c r="J43" s="346"/>
      <c r="K43" s="346"/>
      <c r="L43" s="346"/>
      <c r="M43" s="346"/>
      <c r="N43" s="346"/>
      <c r="O43" s="346"/>
      <c r="P43" s="346"/>
    </row>
    <row r="44" spans="1:16">
      <c r="A44" s="346"/>
      <c r="B44" s="346"/>
      <c r="C44" s="346"/>
      <c r="D44" s="346"/>
      <c r="E44" s="346"/>
      <c r="F44" s="346"/>
      <c r="G44" s="346"/>
      <c r="H44" s="346"/>
      <c r="J44" s="346"/>
      <c r="K44" s="346"/>
      <c r="L44" s="346"/>
      <c r="M44" s="346"/>
      <c r="N44" s="346"/>
      <c r="O44" s="346"/>
      <c r="P44" s="346"/>
    </row>
    <row r="45" spans="1:16">
      <c r="A45" s="346"/>
      <c r="B45" s="346"/>
      <c r="C45" s="346"/>
      <c r="D45" s="346"/>
      <c r="E45" s="346"/>
      <c r="F45" s="346"/>
      <c r="G45" s="346"/>
      <c r="H45" s="346"/>
      <c r="J45" s="346"/>
      <c r="K45" s="346"/>
      <c r="L45" s="346"/>
      <c r="M45" s="346"/>
      <c r="N45" s="346"/>
      <c r="O45" s="346"/>
      <c r="P45" s="346"/>
    </row>
    <row r="46" spans="1:16">
      <c r="A46" s="346"/>
      <c r="B46" s="346"/>
      <c r="C46" s="346"/>
      <c r="D46" s="346"/>
      <c r="E46" s="346"/>
      <c r="F46" s="346"/>
      <c r="G46" s="346"/>
      <c r="H46" s="346"/>
      <c r="J46" s="346"/>
      <c r="K46" s="346"/>
      <c r="L46" s="346"/>
      <c r="M46" s="346"/>
      <c r="N46" s="346"/>
      <c r="O46" s="346"/>
      <c r="P46" s="346"/>
    </row>
    <row r="47" spans="1:16">
      <c r="A47" s="346"/>
      <c r="B47" s="346"/>
      <c r="C47" s="346"/>
      <c r="D47" s="346"/>
      <c r="E47" s="346"/>
      <c r="F47" s="346"/>
      <c r="G47" s="346"/>
      <c r="H47" s="346"/>
      <c r="J47" s="346"/>
      <c r="K47" s="346"/>
      <c r="L47" s="346"/>
      <c r="M47" s="346"/>
      <c r="N47" s="346"/>
      <c r="O47" s="346"/>
      <c r="P47" s="346"/>
    </row>
    <row r="48" spans="1:16">
      <c r="A48" s="346"/>
      <c r="B48" s="346"/>
      <c r="C48" s="346"/>
      <c r="D48" s="346"/>
      <c r="E48" s="346"/>
      <c r="F48" s="346"/>
      <c r="G48" s="346"/>
      <c r="H48" s="346"/>
      <c r="J48" s="346"/>
      <c r="K48" s="346"/>
      <c r="L48" s="346"/>
      <c r="M48" s="346"/>
      <c r="N48" s="346"/>
      <c r="O48" s="346"/>
      <c r="P48" s="346"/>
    </row>
    <row r="49" spans="1:16">
      <c r="A49" s="346"/>
      <c r="B49" s="346"/>
      <c r="C49" s="346"/>
      <c r="D49" s="346"/>
      <c r="E49" s="346"/>
      <c r="F49" s="346"/>
      <c r="G49" s="346"/>
      <c r="H49" s="346"/>
      <c r="J49" s="346"/>
      <c r="K49" s="346"/>
      <c r="L49" s="346"/>
      <c r="M49" s="346"/>
      <c r="N49" s="346"/>
      <c r="O49" s="346"/>
      <c r="P49" s="346"/>
    </row>
    <row r="50" spans="1:16">
      <c r="A50" s="346"/>
      <c r="B50" s="346"/>
      <c r="C50" s="346"/>
      <c r="D50" s="346"/>
      <c r="E50" s="346"/>
      <c r="F50" s="346"/>
      <c r="G50" s="346"/>
      <c r="H50" s="346"/>
      <c r="J50" s="346"/>
      <c r="K50" s="346"/>
      <c r="L50" s="346"/>
      <c r="M50" s="346"/>
      <c r="N50" s="346"/>
      <c r="O50" s="346"/>
      <c r="P50" s="346"/>
    </row>
    <row r="51" spans="1:16">
      <c r="A51" s="393"/>
      <c r="B51" s="346"/>
      <c r="C51" s="346"/>
      <c r="D51" s="394"/>
      <c r="E51" s="394"/>
      <c r="F51" s="395"/>
      <c r="G51" s="395"/>
      <c r="H51" s="395"/>
      <c r="I51" s="393"/>
      <c r="J51" s="346"/>
      <c r="K51" s="346"/>
      <c r="L51" s="346"/>
      <c r="M51" s="346"/>
      <c r="N51" s="346"/>
      <c r="O51" s="346"/>
      <c r="P51" s="346"/>
    </row>
    <row r="52" spans="1:16">
      <c r="A52" s="346"/>
      <c r="B52" s="346"/>
      <c r="C52" s="346"/>
      <c r="D52" s="396"/>
      <c r="E52" s="396"/>
      <c r="F52" s="396"/>
      <c r="G52" s="396"/>
      <c r="H52" s="396"/>
      <c r="J52" s="346"/>
      <c r="K52" s="346"/>
      <c r="L52" s="346"/>
      <c r="M52" s="346"/>
      <c r="N52" s="346"/>
      <c r="O52" s="346"/>
      <c r="P52" s="346"/>
    </row>
    <row r="53" spans="1:16">
      <c r="A53" s="397"/>
      <c r="B53" s="346"/>
      <c r="C53" s="398"/>
      <c r="D53" s="399"/>
      <c r="E53" s="399"/>
      <c r="F53" s="399"/>
      <c r="G53" s="399"/>
      <c r="H53" s="399"/>
      <c r="I53" s="397"/>
      <c r="J53" s="346"/>
      <c r="K53" s="346"/>
      <c r="L53" s="346"/>
      <c r="M53" s="346"/>
      <c r="N53" s="346"/>
      <c r="O53" s="346"/>
      <c r="P53" s="346"/>
    </row>
    <row r="54" spans="1:16">
      <c r="A54" s="397"/>
      <c r="B54" s="346"/>
      <c r="C54" s="398"/>
      <c r="D54" s="399"/>
      <c r="E54" s="399"/>
      <c r="F54" s="399"/>
      <c r="G54" s="399"/>
      <c r="H54" s="399"/>
      <c r="I54" s="397"/>
      <c r="J54" s="346"/>
      <c r="K54" s="346"/>
      <c r="L54" s="346"/>
      <c r="M54" s="346"/>
      <c r="N54" s="346"/>
      <c r="O54" s="346"/>
      <c r="P54" s="346"/>
    </row>
    <row r="55" spans="1:16">
      <c r="A55" s="346"/>
      <c r="B55" s="346"/>
      <c r="C55" s="346"/>
      <c r="D55" s="346"/>
      <c r="E55" s="346"/>
      <c r="F55" s="346"/>
      <c r="G55" s="346"/>
      <c r="H55" s="346"/>
      <c r="J55" s="346"/>
      <c r="K55" s="346"/>
      <c r="L55" s="346"/>
      <c r="M55" s="346"/>
      <c r="N55" s="346"/>
      <c r="O55" s="346"/>
      <c r="P55" s="346"/>
    </row>
    <row r="56" spans="1:16">
      <c r="A56" s="346"/>
      <c r="B56" s="346"/>
      <c r="C56" s="346"/>
      <c r="D56" s="346"/>
      <c r="E56" s="346"/>
      <c r="F56" s="346"/>
      <c r="G56" s="346"/>
      <c r="H56" s="346"/>
      <c r="J56" s="346"/>
      <c r="K56" s="346"/>
      <c r="L56" s="346"/>
      <c r="M56" s="346"/>
      <c r="N56" s="346"/>
      <c r="O56" s="346"/>
      <c r="P56" s="346"/>
    </row>
    <row r="57" spans="1:16">
      <c r="A57" s="346"/>
      <c r="B57" s="346"/>
      <c r="C57" s="346"/>
      <c r="D57" s="346"/>
      <c r="E57" s="346"/>
      <c r="F57" s="346"/>
      <c r="G57" s="346"/>
      <c r="H57" s="346"/>
      <c r="J57" s="346"/>
      <c r="K57" s="346"/>
      <c r="L57" s="346"/>
      <c r="M57" s="346"/>
      <c r="N57" s="346"/>
      <c r="O57" s="346"/>
      <c r="P57" s="346"/>
    </row>
    <row r="58" spans="1:16">
      <c r="A58" s="346"/>
      <c r="B58" s="346"/>
      <c r="C58" s="346"/>
      <c r="D58" s="346"/>
      <c r="E58" s="346"/>
      <c r="F58" s="346"/>
      <c r="G58" s="346"/>
      <c r="H58" s="346"/>
      <c r="J58" s="346"/>
      <c r="K58" s="346"/>
      <c r="L58" s="346"/>
      <c r="M58" s="346"/>
      <c r="N58" s="346"/>
      <c r="O58" s="346"/>
      <c r="P58" s="346"/>
    </row>
    <row r="59" spans="1:16">
      <c r="A59" s="346"/>
      <c r="B59" s="346"/>
      <c r="C59" s="346"/>
      <c r="D59" s="346"/>
      <c r="E59" s="346"/>
      <c r="F59" s="346"/>
      <c r="G59" s="346"/>
      <c r="H59" s="346"/>
      <c r="J59" s="346"/>
      <c r="K59" s="346"/>
      <c r="L59" s="346"/>
      <c r="M59" s="346"/>
      <c r="N59" s="346"/>
      <c r="O59" s="346"/>
      <c r="P59" s="346"/>
    </row>
    <row r="60" spans="1:16">
      <c r="A60" s="346"/>
      <c r="B60" s="346"/>
      <c r="C60" s="346"/>
      <c r="D60" s="346"/>
      <c r="E60" s="346"/>
      <c r="F60" s="346"/>
      <c r="G60" s="346"/>
      <c r="H60" s="346"/>
      <c r="J60" s="346"/>
      <c r="K60" s="346"/>
      <c r="L60" s="346"/>
      <c r="M60" s="346"/>
      <c r="N60" s="346"/>
      <c r="O60" s="346"/>
      <c r="P60" s="346"/>
    </row>
    <row r="61" spans="1:16">
      <c r="A61" s="346"/>
      <c r="B61" s="346"/>
      <c r="C61" s="346"/>
      <c r="D61" s="346"/>
      <c r="E61" s="346"/>
      <c r="F61" s="346"/>
      <c r="G61" s="346"/>
      <c r="H61" s="346"/>
      <c r="J61" s="346"/>
      <c r="K61" s="346"/>
      <c r="L61" s="346"/>
      <c r="M61" s="346"/>
      <c r="N61" s="346"/>
      <c r="O61" s="346"/>
      <c r="P61" s="346"/>
    </row>
    <row r="62" spans="1:16">
      <c r="A62" s="346"/>
      <c r="B62" s="346"/>
      <c r="C62" s="346"/>
      <c r="D62" s="346"/>
      <c r="E62" s="346"/>
      <c r="F62" s="346"/>
      <c r="G62" s="346"/>
      <c r="H62" s="346"/>
      <c r="J62" s="346"/>
      <c r="K62" s="346"/>
      <c r="L62" s="346"/>
      <c r="M62" s="346"/>
      <c r="N62" s="346"/>
      <c r="O62" s="346"/>
      <c r="P62" s="346"/>
    </row>
    <row r="63" spans="1:16">
      <c r="A63" s="346"/>
      <c r="B63" s="346"/>
      <c r="C63" s="346"/>
      <c r="D63" s="346"/>
      <c r="E63" s="346"/>
      <c r="F63" s="346"/>
      <c r="G63" s="346"/>
      <c r="H63" s="346"/>
      <c r="J63" s="346"/>
      <c r="K63" s="346"/>
      <c r="L63" s="346"/>
      <c r="M63" s="346"/>
      <c r="N63" s="346"/>
      <c r="O63" s="346"/>
      <c r="P63" s="346"/>
    </row>
    <row r="64" spans="1:16">
      <c r="A64" s="346"/>
      <c r="B64" s="346"/>
      <c r="C64" s="346"/>
      <c r="D64" s="346"/>
      <c r="E64" s="346"/>
      <c r="F64" s="346"/>
      <c r="G64" s="346"/>
      <c r="H64" s="346"/>
      <c r="J64" s="346"/>
      <c r="K64" s="346"/>
      <c r="L64" s="346"/>
      <c r="M64" s="346"/>
      <c r="N64" s="346"/>
      <c r="O64" s="346"/>
      <c r="P64" s="346"/>
    </row>
    <row r="65" spans="1:16">
      <c r="A65" s="346"/>
      <c r="B65" s="346"/>
      <c r="C65" s="346"/>
      <c r="D65" s="346"/>
      <c r="E65" s="346"/>
      <c r="F65" s="346"/>
      <c r="G65" s="346"/>
      <c r="H65" s="346"/>
      <c r="J65" s="346"/>
      <c r="K65" s="346"/>
      <c r="L65" s="346"/>
      <c r="M65" s="346"/>
      <c r="N65" s="346"/>
      <c r="O65" s="346"/>
      <c r="P65" s="346"/>
    </row>
    <row r="66" spans="1:16">
      <c r="A66" s="346"/>
      <c r="B66" s="346"/>
      <c r="C66" s="346"/>
      <c r="D66" s="346"/>
      <c r="E66" s="346"/>
      <c r="F66" s="346"/>
      <c r="G66" s="346"/>
      <c r="H66" s="346"/>
      <c r="J66" s="346"/>
      <c r="K66" s="346"/>
      <c r="L66" s="346"/>
      <c r="M66" s="346"/>
      <c r="N66" s="346"/>
      <c r="O66" s="346"/>
      <c r="P66" s="346"/>
    </row>
    <row r="67" spans="1:16">
      <c r="A67" s="346"/>
      <c r="B67" s="346"/>
      <c r="C67" s="346"/>
      <c r="D67" s="346"/>
      <c r="E67" s="346"/>
      <c r="F67" s="346"/>
      <c r="G67" s="346"/>
      <c r="H67" s="346"/>
      <c r="J67" s="346"/>
      <c r="K67" s="346"/>
      <c r="L67" s="346"/>
      <c r="M67" s="346"/>
      <c r="N67" s="346"/>
      <c r="O67" s="346"/>
      <c r="P67" s="346"/>
    </row>
    <row r="68" spans="1:16">
      <c r="A68" s="346"/>
      <c r="B68" s="346"/>
      <c r="C68" s="346"/>
      <c r="D68" s="346"/>
      <c r="E68" s="346"/>
      <c r="F68" s="346"/>
      <c r="G68" s="346"/>
      <c r="H68" s="346"/>
      <c r="J68" s="346"/>
      <c r="K68" s="346"/>
      <c r="L68" s="346"/>
      <c r="M68" s="346"/>
      <c r="N68" s="346"/>
      <c r="O68" s="346"/>
      <c r="P68" s="346"/>
    </row>
    <row r="69" spans="1:16">
      <c r="A69" s="346"/>
      <c r="B69" s="346"/>
      <c r="C69" s="346"/>
      <c r="D69" s="346"/>
      <c r="E69" s="346"/>
      <c r="F69" s="346"/>
      <c r="G69" s="346"/>
      <c r="H69" s="346"/>
      <c r="J69" s="346"/>
      <c r="K69" s="346"/>
      <c r="L69" s="346"/>
      <c r="M69" s="346"/>
      <c r="N69" s="346"/>
      <c r="O69" s="346"/>
      <c r="P69" s="346"/>
    </row>
    <row r="70" spans="1:16">
      <c r="A70" s="346"/>
      <c r="B70" s="346"/>
      <c r="C70" s="346"/>
      <c r="D70" s="346"/>
      <c r="E70" s="346"/>
      <c r="F70" s="346"/>
      <c r="G70" s="346"/>
      <c r="H70" s="346"/>
      <c r="J70" s="346"/>
      <c r="K70" s="346"/>
      <c r="L70" s="346"/>
      <c r="M70" s="346"/>
      <c r="N70" s="346"/>
      <c r="O70" s="346"/>
      <c r="P70" s="346"/>
    </row>
    <row r="71" spans="1:16">
      <c r="A71" s="346"/>
      <c r="B71" s="346"/>
      <c r="C71" s="346"/>
      <c r="D71" s="346"/>
      <c r="E71" s="346"/>
      <c r="F71" s="346"/>
      <c r="G71" s="346"/>
      <c r="H71" s="346"/>
      <c r="J71" s="346"/>
      <c r="K71" s="346"/>
      <c r="L71" s="346"/>
      <c r="M71" s="346"/>
      <c r="N71" s="346"/>
      <c r="O71" s="346"/>
      <c r="P71" s="346"/>
    </row>
    <row r="72" spans="1:16">
      <c r="A72" s="346"/>
      <c r="B72" s="346"/>
      <c r="C72" s="346"/>
      <c r="D72" s="346"/>
      <c r="E72" s="346"/>
      <c r="F72" s="346"/>
      <c r="G72" s="346"/>
      <c r="H72" s="346"/>
      <c r="J72" s="346"/>
      <c r="K72" s="346"/>
      <c r="L72" s="346"/>
      <c r="M72" s="346"/>
      <c r="N72" s="346"/>
      <c r="O72" s="346"/>
      <c r="P72" s="346"/>
    </row>
    <row r="73" spans="1:16">
      <c r="A73" s="346"/>
      <c r="B73" s="346"/>
      <c r="C73" s="346"/>
      <c r="D73" s="346"/>
      <c r="E73" s="346"/>
      <c r="F73" s="346"/>
      <c r="G73" s="346"/>
      <c r="H73" s="346"/>
      <c r="J73" s="346"/>
      <c r="K73" s="346"/>
      <c r="L73" s="346"/>
      <c r="M73" s="346"/>
      <c r="N73" s="346"/>
      <c r="O73" s="346"/>
      <c r="P73" s="346"/>
    </row>
    <row r="74" spans="1:16">
      <c r="A74" s="346"/>
      <c r="B74" s="346"/>
      <c r="C74" s="346"/>
      <c r="D74" s="346"/>
      <c r="E74" s="346"/>
      <c r="F74" s="346"/>
      <c r="G74" s="346"/>
      <c r="H74" s="346"/>
      <c r="J74" s="346"/>
      <c r="K74" s="346"/>
      <c r="L74" s="346"/>
      <c r="M74" s="346"/>
      <c r="N74" s="346"/>
      <c r="O74" s="346"/>
      <c r="P74" s="346"/>
    </row>
    <row r="75" spans="1:16">
      <c r="A75" s="346"/>
      <c r="B75" s="346"/>
      <c r="C75" s="346"/>
      <c r="D75" s="346"/>
      <c r="E75" s="346"/>
      <c r="F75" s="346"/>
      <c r="G75" s="346"/>
      <c r="H75" s="346"/>
      <c r="J75" s="346"/>
      <c r="K75" s="346"/>
      <c r="L75" s="346"/>
      <c r="M75" s="346"/>
      <c r="N75" s="346"/>
      <c r="O75" s="346"/>
      <c r="P75" s="346"/>
    </row>
    <row r="76" spans="1:16">
      <c r="A76" s="346"/>
      <c r="B76" s="346"/>
      <c r="C76" s="346"/>
      <c r="D76" s="346"/>
      <c r="E76" s="346"/>
      <c r="F76" s="346"/>
      <c r="G76" s="346"/>
      <c r="H76" s="346"/>
      <c r="J76" s="346"/>
      <c r="K76" s="346"/>
      <c r="L76" s="346"/>
      <c r="M76" s="346"/>
      <c r="N76" s="346"/>
      <c r="O76" s="346"/>
      <c r="P76" s="346"/>
    </row>
    <row r="77" spans="1:16">
      <c r="A77" s="346"/>
      <c r="B77" s="346"/>
      <c r="C77" s="346"/>
      <c r="D77" s="346"/>
      <c r="E77" s="346"/>
      <c r="F77" s="346"/>
      <c r="G77" s="346"/>
      <c r="H77" s="346"/>
      <c r="J77" s="346"/>
      <c r="K77" s="346"/>
      <c r="L77" s="346"/>
      <c r="M77" s="346"/>
      <c r="N77" s="346"/>
      <c r="O77" s="346"/>
      <c r="P77" s="346"/>
    </row>
    <row r="78" spans="1:16">
      <c r="A78" s="346"/>
      <c r="B78" s="346"/>
      <c r="C78" s="346"/>
      <c r="D78" s="346"/>
      <c r="E78" s="346"/>
      <c r="F78" s="346"/>
      <c r="G78" s="346"/>
      <c r="H78" s="346"/>
      <c r="J78" s="346"/>
      <c r="K78" s="346"/>
      <c r="L78" s="346"/>
      <c r="M78" s="346"/>
      <c r="N78" s="346"/>
      <c r="O78" s="346"/>
      <c r="P78" s="346"/>
    </row>
    <row r="79" spans="1:16">
      <c r="A79" s="346"/>
      <c r="B79" s="346"/>
      <c r="C79" s="346"/>
      <c r="D79" s="346"/>
      <c r="E79" s="346"/>
      <c r="F79" s="346"/>
      <c r="G79" s="346"/>
      <c r="H79" s="346"/>
      <c r="J79" s="346"/>
      <c r="K79" s="346"/>
      <c r="L79" s="346"/>
      <c r="M79" s="346"/>
      <c r="N79" s="346"/>
      <c r="O79" s="346"/>
      <c r="P79" s="346"/>
    </row>
    <row r="80" spans="1:16">
      <c r="A80" s="346"/>
      <c r="B80" s="346"/>
      <c r="C80" s="346"/>
      <c r="D80" s="346"/>
      <c r="E80" s="346"/>
      <c r="F80" s="346"/>
      <c r="G80" s="346"/>
      <c r="H80" s="346"/>
      <c r="J80" s="346"/>
      <c r="K80" s="346"/>
      <c r="L80" s="346"/>
      <c r="M80" s="346"/>
      <c r="N80" s="346"/>
      <c r="O80" s="346"/>
      <c r="P80" s="346"/>
    </row>
    <row r="81" spans="1:16">
      <c r="A81" s="346"/>
      <c r="B81" s="346"/>
      <c r="C81" s="346"/>
      <c r="D81" s="346"/>
      <c r="E81" s="346"/>
      <c r="F81" s="346"/>
      <c r="G81" s="346"/>
      <c r="H81" s="346"/>
      <c r="J81" s="346"/>
      <c r="K81" s="346"/>
      <c r="L81" s="346"/>
      <c r="M81" s="346"/>
      <c r="N81" s="346"/>
      <c r="O81" s="346"/>
      <c r="P81" s="346"/>
    </row>
    <row r="82" spans="1:16">
      <c r="A82" s="346"/>
      <c r="B82" s="346"/>
      <c r="C82" s="346"/>
      <c r="D82" s="346"/>
      <c r="E82" s="346"/>
      <c r="F82" s="346"/>
      <c r="G82" s="346"/>
      <c r="H82" s="346"/>
      <c r="J82" s="346"/>
      <c r="K82" s="346"/>
      <c r="L82" s="346"/>
      <c r="M82" s="346"/>
      <c r="N82" s="346"/>
      <c r="O82" s="346"/>
      <c r="P82" s="346"/>
    </row>
    <row r="83" spans="1:16">
      <c r="A83" s="346"/>
      <c r="B83" s="346"/>
      <c r="C83" s="346"/>
      <c r="D83" s="346"/>
      <c r="E83" s="346"/>
      <c r="F83" s="346"/>
      <c r="G83" s="346"/>
      <c r="H83" s="346"/>
      <c r="J83" s="346"/>
      <c r="K83" s="346"/>
      <c r="L83" s="346"/>
      <c r="M83" s="346"/>
      <c r="N83" s="346"/>
      <c r="O83" s="346"/>
      <c r="P83" s="346"/>
    </row>
    <row r="84" spans="1:16">
      <c r="A84" s="346"/>
      <c r="B84" s="346"/>
      <c r="C84" s="346"/>
      <c r="D84" s="346"/>
      <c r="E84" s="346"/>
      <c r="F84" s="346"/>
      <c r="G84" s="346"/>
      <c r="H84" s="346"/>
      <c r="J84" s="346"/>
      <c r="K84" s="346"/>
      <c r="L84" s="346"/>
      <c r="M84" s="346"/>
      <c r="N84" s="346"/>
      <c r="O84" s="346"/>
      <c r="P84" s="346"/>
    </row>
    <row r="85" spans="1:16">
      <c r="A85" s="346"/>
      <c r="B85" s="346"/>
      <c r="C85" s="346"/>
      <c r="D85" s="346"/>
      <c r="E85" s="346"/>
      <c r="F85" s="346"/>
      <c r="G85" s="346"/>
      <c r="H85" s="346"/>
      <c r="J85" s="346"/>
      <c r="K85" s="346"/>
      <c r="L85" s="346"/>
      <c r="M85" s="346"/>
      <c r="N85" s="346"/>
      <c r="O85" s="346"/>
      <c r="P85" s="346"/>
    </row>
    <row r="86" spans="1:16">
      <c r="A86" s="346"/>
      <c r="B86" s="346"/>
      <c r="C86" s="346"/>
      <c r="D86" s="346"/>
      <c r="E86" s="346"/>
      <c r="F86" s="346"/>
      <c r="G86" s="346"/>
      <c r="H86" s="346"/>
      <c r="J86" s="346"/>
      <c r="K86" s="346"/>
      <c r="L86" s="346"/>
      <c r="M86" s="346"/>
      <c r="N86" s="346"/>
      <c r="O86" s="346"/>
      <c r="P86" s="346"/>
    </row>
    <row r="87" spans="1:16">
      <c r="A87" s="346"/>
      <c r="B87" s="346"/>
      <c r="C87" s="346"/>
      <c r="D87" s="346"/>
      <c r="E87" s="346"/>
      <c r="F87" s="346"/>
      <c r="G87" s="346"/>
      <c r="H87" s="346"/>
      <c r="J87" s="346"/>
      <c r="K87" s="346"/>
      <c r="L87" s="346"/>
      <c r="M87" s="346"/>
      <c r="N87" s="346"/>
      <c r="O87" s="346"/>
      <c r="P87" s="346"/>
    </row>
    <row r="88" spans="1:16">
      <c r="A88" s="346"/>
      <c r="B88" s="346"/>
      <c r="C88" s="346"/>
      <c r="D88" s="346"/>
      <c r="E88" s="346"/>
      <c r="F88" s="346"/>
      <c r="G88" s="346"/>
      <c r="H88" s="346"/>
      <c r="J88" s="346"/>
      <c r="K88" s="346"/>
      <c r="L88" s="346"/>
      <c r="M88" s="346"/>
      <c r="N88" s="346"/>
      <c r="O88" s="346"/>
      <c r="P88" s="346"/>
    </row>
    <row r="89" spans="1:16">
      <c r="A89" s="346"/>
      <c r="B89" s="346"/>
      <c r="C89" s="346"/>
      <c r="D89" s="346"/>
      <c r="E89" s="346"/>
      <c r="F89" s="346"/>
      <c r="G89" s="346"/>
      <c r="H89" s="346"/>
      <c r="J89" s="346"/>
      <c r="K89" s="346"/>
      <c r="L89" s="346"/>
      <c r="M89" s="346"/>
      <c r="N89" s="346"/>
      <c r="O89" s="346"/>
      <c r="P89" s="346"/>
    </row>
    <row r="90" spans="1:16">
      <c r="A90" s="346"/>
      <c r="B90" s="346"/>
      <c r="C90" s="346"/>
      <c r="D90" s="346"/>
      <c r="E90" s="346"/>
      <c r="F90" s="346"/>
      <c r="G90" s="346"/>
      <c r="H90" s="346"/>
      <c r="J90" s="346"/>
      <c r="K90" s="346"/>
      <c r="L90" s="346"/>
      <c r="M90" s="346"/>
      <c r="N90" s="346"/>
      <c r="O90" s="346"/>
      <c r="P90" s="346"/>
    </row>
    <row r="91" spans="1:16">
      <c r="A91" s="346"/>
      <c r="B91" s="346"/>
      <c r="C91" s="346"/>
      <c r="D91" s="346"/>
      <c r="E91" s="346"/>
      <c r="F91" s="346"/>
      <c r="G91" s="346"/>
      <c r="H91" s="346"/>
      <c r="J91" s="346"/>
      <c r="K91" s="346"/>
      <c r="L91" s="346"/>
      <c r="M91" s="346"/>
      <c r="N91" s="346"/>
      <c r="O91" s="346"/>
      <c r="P91" s="346"/>
    </row>
    <row r="92" spans="1:16">
      <c r="A92" s="346"/>
      <c r="B92" s="346"/>
      <c r="C92" s="346"/>
      <c r="D92" s="346"/>
      <c r="E92" s="346"/>
      <c r="F92" s="346"/>
      <c r="G92" s="346"/>
      <c r="H92" s="346"/>
      <c r="J92" s="346"/>
      <c r="K92" s="346"/>
      <c r="L92" s="346"/>
      <c r="M92" s="346"/>
      <c r="N92" s="346"/>
      <c r="O92" s="346"/>
      <c r="P92" s="346"/>
    </row>
    <row r="93" spans="1:16">
      <c r="A93" s="346"/>
      <c r="B93" s="346"/>
      <c r="C93" s="346"/>
      <c r="D93" s="346"/>
      <c r="E93" s="346"/>
      <c r="F93" s="346"/>
      <c r="G93" s="346"/>
      <c r="H93" s="346"/>
      <c r="J93" s="346"/>
      <c r="K93" s="346"/>
      <c r="L93" s="346"/>
      <c r="M93" s="346"/>
      <c r="N93" s="346"/>
      <c r="O93" s="346"/>
      <c r="P93" s="346"/>
    </row>
    <row r="94" spans="1:16">
      <c r="A94" s="346"/>
      <c r="B94" s="346"/>
      <c r="C94" s="346"/>
      <c r="D94" s="346"/>
      <c r="E94" s="346"/>
      <c r="F94" s="346"/>
      <c r="G94" s="346"/>
      <c r="H94" s="346"/>
      <c r="J94" s="346"/>
      <c r="K94" s="346"/>
      <c r="L94" s="346"/>
      <c r="M94" s="346"/>
      <c r="N94" s="346"/>
      <c r="O94" s="346"/>
      <c r="P94" s="346"/>
    </row>
    <row r="95" spans="1:16">
      <c r="A95" s="346"/>
      <c r="B95" s="346"/>
      <c r="C95" s="346"/>
      <c r="D95" s="346"/>
      <c r="E95" s="346"/>
      <c r="F95" s="346"/>
      <c r="G95" s="346"/>
      <c r="H95" s="346"/>
      <c r="J95" s="346"/>
      <c r="K95" s="346"/>
      <c r="L95" s="346"/>
      <c r="M95" s="346"/>
      <c r="N95" s="346"/>
      <c r="O95" s="346"/>
      <c r="P95" s="346"/>
    </row>
    <row r="96" spans="1:16">
      <c r="A96" s="346"/>
      <c r="B96" s="346"/>
      <c r="C96" s="346"/>
      <c r="D96" s="346"/>
      <c r="E96" s="346"/>
      <c r="F96" s="346"/>
      <c r="G96" s="346"/>
      <c r="H96" s="346"/>
      <c r="J96" s="346"/>
      <c r="K96" s="346"/>
      <c r="L96" s="346"/>
      <c r="M96" s="346"/>
      <c r="N96" s="346"/>
      <c r="O96" s="346"/>
      <c r="P96" s="346"/>
    </row>
    <row r="97" spans="1:16">
      <c r="A97" s="346"/>
      <c r="B97" s="346"/>
      <c r="C97" s="346"/>
      <c r="D97" s="346"/>
      <c r="E97" s="346"/>
      <c r="F97" s="346"/>
      <c r="G97" s="346"/>
      <c r="H97" s="346"/>
      <c r="J97" s="346"/>
      <c r="K97" s="346"/>
      <c r="L97" s="346"/>
      <c r="M97" s="346"/>
      <c r="N97" s="346"/>
      <c r="O97" s="346"/>
      <c r="P97" s="346"/>
    </row>
    <row r="98" spans="1:16">
      <c r="A98" s="346"/>
      <c r="B98" s="346"/>
      <c r="C98" s="346"/>
      <c r="D98" s="346"/>
      <c r="E98" s="346"/>
      <c r="F98" s="346"/>
      <c r="G98" s="346"/>
      <c r="H98" s="346"/>
      <c r="J98" s="346"/>
      <c r="K98" s="346"/>
      <c r="L98" s="346"/>
      <c r="M98" s="346"/>
      <c r="N98" s="346"/>
      <c r="O98" s="346"/>
      <c r="P98" s="346"/>
    </row>
    <row r="99" spans="1:16">
      <c r="A99" s="346"/>
      <c r="B99" s="346"/>
      <c r="C99" s="346"/>
      <c r="D99" s="346"/>
      <c r="E99" s="346"/>
      <c r="F99" s="346"/>
      <c r="G99" s="346"/>
      <c r="H99" s="346"/>
      <c r="J99" s="346"/>
      <c r="K99" s="346"/>
      <c r="L99" s="346"/>
      <c r="M99" s="346"/>
      <c r="N99" s="346"/>
      <c r="O99" s="346"/>
      <c r="P99" s="346"/>
    </row>
    <row r="100" spans="1:16">
      <c r="A100" s="346"/>
      <c r="B100" s="346"/>
      <c r="C100" s="346"/>
      <c r="D100" s="346"/>
      <c r="E100" s="346"/>
      <c r="F100" s="346"/>
      <c r="G100" s="346"/>
      <c r="H100" s="346"/>
      <c r="J100" s="346"/>
      <c r="K100" s="346"/>
      <c r="L100" s="346"/>
      <c r="M100" s="346"/>
      <c r="N100" s="346"/>
      <c r="O100" s="346"/>
      <c r="P100" s="346"/>
    </row>
    <row r="101" spans="1:16">
      <c r="A101" s="346"/>
      <c r="B101" s="346"/>
      <c r="C101" s="346"/>
      <c r="D101" s="346"/>
      <c r="E101" s="346"/>
      <c r="F101" s="346"/>
      <c r="G101" s="346"/>
      <c r="H101" s="346"/>
      <c r="J101" s="346"/>
      <c r="K101" s="346"/>
      <c r="L101" s="346"/>
      <c r="M101" s="346"/>
      <c r="N101" s="346"/>
      <c r="O101" s="346"/>
      <c r="P101" s="346"/>
    </row>
  </sheetData>
  <mergeCells count="15">
    <mergeCell ref="E2:I2"/>
    <mergeCell ref="A3:B3"/>
    <mergeCell ref="A4:B4"/>
    <mergeCell ref="C6:E6"/>
    <mergeCell ref="E7:E9"/>
    <mergeCell ref="H10:I10"/>
    <mergeCell ref="B16:D16"/>
    <mergeCell ref="A18:D19"/>
    <mergeCell ref="A20:D20"/>
    <mergeCell ref="A21:D21"/>
    <mergeCell ref="B31:D31"/>
    <mergeCell ref="A23:D23"/>
    <mergeCell ref="A25:D25"/>
    <mergeCell ref="A27:D27"/>
    <mergeCell ref="A29:D29"/>
  </mergeCells>
  <conditionalFormatting sqref="D11">
    <cfRule type="colorScale" priority="30">
      <colorScale>
        <cfvo type="min"/>
        <cfvo type="num" val="12"/>
        <color theme="0"/>
        <color theme="0"/>
      </colorScale>
    </cfRule>
    <cfRule type="colorScale" priority="31">
      <colorScale>
        <cfvo type="num" val="0"/>
        <cfvo type="max"/>
        <color theme="0"/>
        <color theme="0"/>
      </colorScale>
    </cfRule>
  </conditionalFormatting>
  <conditionalFormatting sqref="D12:H14">
    <cfRule type="colorScale" priority="3">
      <colorScale>
        <cfvo type="min"/>
        <cfvo type="num" val="12"/>
        <color theme="0"/>
        <color theme="0"/>
      </colorScale>
    </cfRule>
    <cfRule type="colorScale" priority="4">
      <colorScale>
        <cfvo type="num" val="0"/>
        <cfvo type="max"/>
        <color theme="0"/>
        <color theme="0"/>
      </colorScale>
    </cfRule>
  </conditionalFormatting>
  <conditionalFormatting sqref="E16">
    <cfRule type="colorScale" priority="1">
      <colorScale>
        <cfvo type="min"/>
        <cfvo type="num" val="12"/>
        <color theme="0"/>
        <color theme="0"/>
      </colorScale>
    </cfRule>
    <cfRule type="colorScale" priority="2">
      <colorScale>
        <cfvo type="num" val="0"/>
        <cfvo type="max"/>
        <color theme="0"/>
        <color theme="0"/>
      </colorScale>
    </cfRule>
  </conditionalFormatting>
  <conditionalFormatting sqref="E17">
    <cfRule type="colorScale" priority="32">
      <colorScale>
        <cfvo type="min"/>
        <cfvo type="num" val="12"/>
        <color theme="0"/>
        <color theme="0"/>
      </colorScale>
    </cfRule>
    <cfRule type="colorScale" priority="33">
      <colorScale>
        <cfvo type="num" val="0"/>
        <cfvo type="max"/>
        <color theme="0"/>
        <color theme="0"/>
      </colorScale>
    </cfRule>
  </conditionalFormatting>
  <conditionalFormatting sqref="E11:H11">
    <cfRule type="colorScale" priority="5">
      <colorScale>
        <cfvo type="min"/>
        <cfvo type="num" val="12"/>
        <color theme="0"/>
        <color theme="0"/>
      </colorScale>
    </cfRule>
    <cfRule type="colorScale" priority="6">
      <colorScale>
        <cfvo type="num" val="0"/>
        <cfvo type="max"/>
        <color theme="0"/>
        <color theme="0"/>
      </colorScale>
    </cfRule>
  </conditionalFormatting>
  <dataValidations disablePrompts="1" count="3">
    <dataValidation type="list" allowBlank="1" showInputMessage="1" showErrorMessage="1" sqref="H8" xr:uid="{00000000-0002-0000-0100-000000000000}">
      <formula1>Bonitet</formula1>
    </dataValidation>
    <dataValidation type="list" allowBlank="1" showInputMessage="1" showErrorMessage="1" sqref="F8" xr:uid="{00000000-0002-0000-0100-000001000000}">
      <formula1>Hovedtreslag</formula1>
    </dataValidation>
    <dataValidation type="decimal" operator="lessThanOrEqual" allowBlank="1" showInputMessage="1" showErrorMessage="1" sqref="E20" xr:uid="{00000000-0002-0000-0100-000002000000}">
      <formula1>0.35</formula1>
    </dataValidation>
  </dataValidations>
  <hyperlinks>
    <hyperlink ref="B16:D16" location="'POTENSIALE FOR TYNNING'!R2:V12" display="Grunnflatesum etter tynning:" xr:uid="{00000000-0004-0000-0100-000000000000}"/>
  </hyperlink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7" id="{C2E43D13-6FE6-4FFF-809E-AD587B39B356}">
            <x14:iconSet iconSet="3Symbols" custom="1">
              <x14:cfvo type="percent">
                <xm:f>0</xm:f>
              </x14:cfvo>
              <x14:cfvo type="num">
                <xm:f>0</xm:f>
              </x14:cfvo>
              <x14:cfvo type="num">
                <xm:f>0.36</xm:f>
              </x14:cfvo>
              <x14:cfIcon iconSet="3Symbols" iconId="0"/>
              <x14:cfIcon iconSet="3Symbols" iconId="2"/>
              <x14:cfIcon iconSet="3Symbols" iconId="0"/>
            </x14:iconSet>
          </x14:cfRule>
          <xm:sqref>E20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33"/>
  <sheetViews>
    <sheetView showGridLines="0" showRowColHeaders="0" zoomScale="90" zoomScaleNormal="90" workbookViewId="0">
      <pane ySplit="3" topLeftCell="A18" activePane="bottomLeft" state="frozen"/>
      <selection pane="bottomLeft"/>
    </sheetView>
  </sheetViews>
  <sheetFormatPr defaultColWidth="0" defaultRowHeight="15" zeroHeight="1"/>
  <cols>
    <col min="1" max="1" width="4.42578125" customWidth="1"/>
    <col min="2" max="2" width="6.28515625" customWidth="1"/>
    <col min="3" max="3" width="88.85546875" customWidth="1"/>
    <col min="4" max="4" width="33.28515625" customWidth="1"/>
    <col min="5" max="5" width="10.85546875" customWidth="1"/>
    <col min="6" max="6" width="14.28515625" customWidth="1"/>
    <col min="7" max="7" width="0.85546875" customWidth="1"/>
    <col min="8" max="8" width="6.85546875" customWidth="1"/>
    <col min="9" max="9" width="7.7109375" customWidth="1"/>
    <col min="10" max="10" width="6.28515625" customWidth="1"/>
    <col min="11" max="16" width="9.140625" customWidth="1"/>
    <col min="17" max="17" width="6.28515625" customWidth="1"/>
    <col min="18" max="18" width="12.28515625" bestFit="1" customWidth="1"/>
    <col min="19" max="19" width="9.7109375" customWidth="1"/>
    <col min="20" max="21" width="5.85546875" customWidth="1"/>
    <col min="22" max="22" width="3.5703125" customWidth="1"/>
    <col min="23" max="49" width="0" hidden="1" customWidth="1"/>
    <col min="50" max="16384" width="11.42578125" hidden="1"/>
  </cols>
  <sheetData>
    <row r="1" spans="1:49">
      <c r="A1" s="492"/>
      <c r="B1" s="492"/>
      <c r="C1" s="492"/>
      <c r="D1" s="492"/>
      <c r="E1" s="492"/>
      <c r="F1" s="492"/>
      <c r="G1" s="492"/>
      <c r="H1" s="492"/>
      <c r="I1" s="492"/>
      <c r="J1" s="492"/>
      <c r="K1" s="492"/>
      <c r="L1" s="492"/>
      <c r="M1" s="492"/>
      <c r="N1" s="492"/>
      <c r="O1" s="492"/>
      <c r="P1" s="492"/>
      <c r="Q1" s="492"/>
      <c r="R1" s="492"/>
      <c r="S1" s="492"/>
      <c r="T1" s="492"/>
      <c r="U1" s="492"/>
      <c r="V1" s="492"/>
      <c r="W1" s="479"/>
      <c r="X1" s="479"/>
      <c r="Y1" s="479"/>
    </row>
    <row r="2" spans="1:49">
      <c r="A2" s="492"/>
      <c r="B2" s="492"/>
      <c r="C2" s="492"/>
      <c r="D2" s="492"/>
      <c r="E2" s="492"/>
      <c r="F2" s="492"/>
      <c r="G2" s="492"/>
      <c r="H2" s="492"/>
      <c r="I2" s="492"/>
      <c r="J2" s="492"/>
      <c r="K2" s="492"/>
      <c r="L2" s="492"/>
      <c r="M2" s="492"/>
      <c r="N2" s="492"/>
      <c r="O2" s="492"/>
      <c r="P2" s="492"/>
      <c r="Q2" s="492"/>
      <c r="R2" s="492"/>
      <c r="S2" s="492"/>
      <c r="T2" s="492"/>
      <c r="U2" s="492"/>
      <c r="V2" s="492"/>
      <c r="W2" s="479"/>
      <c r="X2" s="479"/>
      <c r="Y2" s="479"/>
    </row>
    <row r="3" spans="1:49" ht="15.75" thickBot="1">
      <c r="A3" s="492"/>
      <c r="B3" s="492"/>
      <c r="C3" s="492"/>
      <c r="D3" s="492"/>
      <c r="E3" s="492"/>
      <c r="F3" s="492"/>
      <c r="G3" s="492"/>
      <c r="H3" s="492"/>
      <c r="I3" s="492"/>
      <c r="J3" s="492"/>
      <c r="K3" s="492"/>
      <c r="L3" s="492"/>
      <c r="M3" s="492"/>
      <c r="N3" s="492"/>
      <c r="O3" s="492"/>
      <c r="P3" s="492"/>
      <c r="Q3" s="492"/>
      <c r="R3" s="492"/>
      <c r="S3" s="492"/>
      <c r="T3" s="492"/>
      <c r="U3" s="492"/>
      <c r="V3" s="492"/>
      <c r="W3" s="479"/>
      <c r="X3" s="479"/>
      <c r="Y3" s="479"/>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row>
    <row r="4" spans="1:49" ht="19.149999999999999" customHeight="1" thickTop="1" thickBot="1">
      <c r="A4" s="492"/>
      <c r="B4" s="515"/>
      <c r="C4" s="516"/>
      <c r="D4" s="516"/>
      <c r="E4" s="516"/>
      <c r="F4" s="516"/>
      <c r="G4" s="516"/>
      <c r="H4" s="516"/>
      <c r="I4" s="517"/>
      <c r="J4" s="492"/>
      <c r="K4" s="492"/>
      <c r="L4" s="492"/>
      <c r="M4" s="492"/>
      <c r="N4" s="492"/>
      <c r="O4" s="492"/>
      <c r="P4" s="492"/>
      <c r="Q4" s="492"/>
      <c r="R4" s="492"/>
      <c r="S4" s="492"/>
      <c r="T4" s="492"/>
      <c r="U4" s="492"/>
      <c r="V4" s="492"/>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row>
    <row r="5" spans="1:49" ht="42.6" customHeight="1">
      <c r="A5" s="492"/>
      <c r="B5" s="518"/>
      <c r="C5" s="519" t="s">
        <v>50</v>
      </c>
      <c r="D5" s="346"/>
      <c r="E5" s="346"/>
      <c r="F5" s="346"/>
      <c r="G5" s="346"/>
      <c r="H5" s="346"/>
      <c r="I5" s="520"/>
      <c r="J5" s="492"/>
      <c r="K5" s="492"/>
      <c r="L5" s="492"/>
      <c r="M5" s="492"/>
      <c r="N5" s="492"/>
      <c r="O5" s="492"/>
      <c r="P5" s="492"/>
      <c r="Q5" s="586" t="s">
        <v>51</v>
      </c>
      <c r="R5" s="587"/>
      <c r="S5" s="587"/>
      <c r="T5" s="588"/>
      <c r="U5" s="542"/>
      <c r="V5" s="492"/>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row>
    <row r="6" spans="1:49" ht="26.1" customHeight="1">
      <c r="A6" s="492"/>
      <c r="B6" s="518"/>
      <c r="C6" s="521" t="s">
        <v>52</v>
      </c>
      <c r="D6" s="346"/>
      <c r="E6" s="346"/>
      <c r="F6" s="346"/>
      <c r="G6" s="346"/>
      <c r="H6" s="346"/>
      <c r="I6" s="520"/>
      <c r="J6" s="492"/>
      <c r="K6" s="492"/>
      <c r="L6" s="492"/>
      <c r="M6" s="492"/>
      <c r="N6" s="492"/>
      <c r="O6" s="492"/>
      <c r="P6" s="492"/>
      <c r="Q6" s="589"/>
      <c r="R6" s="590"/>
      <c r="S6" s="590"/>
      <c r="T6" s="591"/>
      <c r="U6" s="542"/>
      <c r="V6" s="492"/>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row>
    <row r="7" spans="1:49" ht="24" thickBot="1">
      <c r="A7" s="492"/>
      <c r="B7" s="518"/>
      <c r="C7" s="522"/>
      <c r="D7" s="522"/>
      <c r="E7" s="522"/>
      <c r="F7" s="346"/>
      <c r="G7" s="346"/>
      <c r="H7" s="346"/>
      <c r="I7" s="520"/>
      <c r="J7" s="492"/>
      <c r="K7" s="492"/>
      <c r="L7" s="492"/>
      <c r="M7" s="492"/>
      <c r="N7" s="492"/>
      <c r="O7" s="492"/>
      <c r="P7" s="492"/>
      <c r="Q7" s="589"/>
      <c r="R7" s="590"/>
      <c r="S7" s="590"/>
      <c r="T7" s="591"/>
      <c r="U7" s="542"/>
      <c r="V7" s="492"/>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row>
    <row r="8" spans="1:49" ht="25.15" customHeight="1" thickTop="1" thickBot="1">
      <c r="A8" s="492"/>
      <c r="B8" s="518"/>
      <c r="C8" s="523" t="s">
        <v>53</v>
      </c>
      <c r="D8" s="523"/>
      <c r="E8" s="523"/>
      <c r="F8" s="473">
        <v>10</v>
      </c>
      <c r="G8" s="452" t="s">
        <v>54</v>
      </c>
      <c r="H8" s="452"/>
      <c r="I8" s="520"/>
      <c r="J8" s="492"/>
      <c r="K8" s="492"/>
      <c r="L8" s="492"/>
      <c r="M8" s="492"/>
      <c r="N8" s="492"/>
      <c r="O8" s="492"/>
      <c r="P8" s="492"/>
      <c r="Q8" s="474"/>
      <c r="R8" s="346"/>
      <c r="S8" s="469">
        <f>F8</f>
        <v>10</v>
      </c>
      <c r="T8" s="475"/>
      <c r="U8" s="536"/>
      <c r="V8" s="492"/>
      <c r="W8" s="303"/>
      <c r="X8" s="592"/>
      <c r="Y8" s="592"/>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row>
    <row r="9" spans="1:49" ht="6" customHeight="1" thickTop="1" thickBot="1">
      <c r="A9" s="492"/>
      <c r="B9" s="518"/>
      <c r="C9" s="524"/>
      <c r="D9" s="524"/>
      <c r="E9" s="524"/>
      <c r="F9" s="466"/>
      <c r="G9" s="525"/>
      <c r="H9" s="525"/>
      <c r="I9" s="520"/>
      <c r="J9" s="492"/>
      <c r="K9" s="492"/>
      <c r="L9" s="492"/>
      <c r="M9" s="492"/>
      <c r="N9" s="492"/>
      <c r="O9" s="492"/>
      <c r="P9" s="492"/>
      <c r="Q9" s="474"/>
      <c r="R9" s="346"/>
      <c r="S9" s="466"/>
      <c r="T9" s="475"/>
      <c r="U9" s="536"/>
      <c r="V9" s="492"/>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row>
    <row r="10" spans="1:49" ht="25.15" customHeight="1" thickTop="1" thickBot="1">
      <c r="A10" s="492"/>
      <c r="B10" s="518"/>
      <c r="C10" s="524" t="s">
        <v>55</v>
      </c>
      <c r="D10" s="524"/>
      <c r="E10" s="524"/>
      <c r="F10" s="473">
        <v>20</v>
      </c>
      <c r="G10" s="452" t="s">
        <v>54</v>
      </c>
      <c r="H10" s="452"/>
      <c r="I10" s="520"/>
      <c r="J10" s="492"/>
      <c r="K10" s="492"/>
      <c r="L10" s="492"/>
      <c r="M10" s="492"/>
      <c r="N10" s="492"/>
      <c r="O10" s="492"/>
      <c r="P10" s="492"/>
      <c r="Q10" s="474"/>
      <c r="R10" s="346"/>
      <c r="S10" s="469">
        <f>F10</f>
        <v>20</v>
      </c>
      <c r="T10" s="475"/>
      <c r="U10" s="536"/>
      <c r="V10" s="492"/>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row>
    <row r="11" spans="1:49" ht="6" customHeight="1" thickTop="1">
      <c r="A11" s="492"/>
      <c r="B11" s="518"/>
      <c r="C11" s="524"/>
      <c r="D11" s="524"/>
      <c r="E11" s="524"/>
      <c r="F11" s="467"/>
      <c r="G11" s="525"/>
      <c r="H11" s="525"/>
      <c r="I11" s="520"/>
      <c r="J11" s="492"/>
      <c r="K11" s="492"/>
      <c r="L11" s="492"/>
      <c r="M11" s="492"/>
      <c r="N11" s="492"/>
      <c r="O11" s="492"/>
      <c r="P11" s="492"/>
      <c r="Q11" s="474"/>
      <c r="R11" s="346"/>
      <c r="S11" s="467"/>
      <c r="T11" s="475"/>
      <c r="U11" s="536"/>
      <c r="V11" s="492"/>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row>
    <row r="12" spans="1:49" ht="21" customHeight="1" thickBot="1">
      <c r="A12" s="492"/>
      <c r="B12" s="518"/>
      <c r="C12" s="612" t="s">
        <v>56</v>
      </c>
      <c r="D12" s="612"/>
      <c r="E12" s="524"/>
      <c r="F12" s="468">
        <f>MASKINPRODUKTIVITET!G16</f>
        <v>179.13195060964284</v>
      </c>
      <c r="G12" s="452" t="s">
        <v>54</v>
      </c>
      <c r="H12" s="452"/>
      <c r="I12" s="520"/>
      <c r="J12" s="492"/>
      <c r="K12" s="492"/>
      <c r="L12" s="492"/>
      <c r="M12" s="492"/>
      <c r="N12" s="492"/>
      <c r="O12" s="492"/>
      <c r="P12" s="492"/>
      <c r="Q12" s="474"/>
      <c r="R12" s="346"/>
      <c r="S12" s="468">
        <f>'MP 2'!G16</f>
        <v>167.81782722040799</v>
      </c>
      <c r="T12" s="475"/>
      <c r="U12" s="536"/>
      <c r="V12" s="492"/>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row>
    <row r="13" spans="1:49" ht="6" customHeight="1" thickTop="1">
      <c r="A13" s="492"/>
      <c r="B13" s="518"/>
      <c r="C13" s="524"/>
      <c r="D13" s="609" t="s">
        <v>57</v>
      </c>
      <c r="E13" s="605">
        <v>0.15</v>
      </c>
      <c r="F13" s="467"/>
      <c r="G13" s="525"/>
      <c r="H13" s="525"/>
      <c r="I13" s="520"/>
      <c r="J13" s="492"/>
      <c r="K13" s="492"/>
      <c r="L13" s="492"/>
      <c r="M13" s="492"/>
      <c r="N13" s="492"/>
      <c r="O13" s="492"/>
      <c r="P13" s="492"/>
      <c r="Q13" s="474"/>
      <c r="R13" s="346"/>
      <c r="S13" s="467"/>
      <c r="T13" s="475"/>
      <c r="U13" s="536"/>
      <c r="V13" s="492"/>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row>
    <row r="14" spans="1:49" ht="25.15" customHeight="1">
      <c r="A14" s="492"/>
      <c r="B14" s="518"/>
      <c r="C14" s="524" t="s">
        <v>58</v>
      </c>
      <c r="D14" s="610"/>
      <c r="E14" s="606"/>
      <c r="F14" s="469">
        <f>F30/FORSIDE!E29</f>
        <v>9.5698582548103399</v>
      </c>
      <c r="G14" s="452" t="s">
        <v>54</v>
      </c>
      <c r="H14" s="452"/>
      <c r="I14" s="520"/>
      <c r="J14" s="492"/>
      <c r="K14" s="492"/>
      <c r="L14" s="492"/>
      <c r="M14" s="492"/>
      <c r="N14" s="492"/>
      <c r="O14" s="492"/>
      <c r="P14" s="492"/>
      <c r="Q14" s="474"/>
      <c r="R14" s="537">
        <v>0</v>
      </c>
      <c r="S14" s="469">
        <f>U30/'FS 2'!E23</f>
        <v>11.4824044737921</v>
      </c>
      <c r="T14" s="475"/>
      <c r="U14" s="536"/>
      <c r="V14" s="492"/>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row>
    <row r="15" spans="1:49" ht="6" customHeight="1" thickBot="1">
      <c r="A15" s="492"/>
      <c r="B15" s="518"/>
      <c r="C15" s="524"/>
      <c r="D15" s="611"/>
      <c r="E15" s="607"/>
      <c r="F15" s="467"/>
      <c r="G15" s="525"/>
      <c r="H15" s="525"/>
      <c r="I15" s="520"/>
      <c r="J15" s="492"/>
      <c r="K15" s="492"/>
      <c r="L15" s="492"/>
      <c r="M15" s="492"/>
      <c r="N15" s="492"/>
      <c r="O15" s="492"/>
      <c r="P15" s="492"/>
      <c r="Q15" s="474"/>
      <c r="R15" s="346"/>
      <c r="S15" s="467"/>
      <c r="T15" s="475"/>
      <c r="U15" s="536"/>
      <c r="V15" s="492"/>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row>
    <row r="16" spans="1:49" ht="21" customHeight="1" thickTop="1">
      <c r="A16" s="492"/>
      <c r="B16" s="518"/>
      <c r="C16" s="524" t="s">
        <v>59</v>
      </c>
      <c r="D16" s="526"/>
      <c r="E16" s="524"/>
      <c r="F16" s="468">
        <f>MASKINPRODUKTIVITET!T16</f>
        <v>151.80139262129561</v>
      </c>
      <c r="G16" s="452" t="s">
        <v>54</v>
      </c>
      <c r="H16" s="452"/>
      <c r="I16" s="520"/>
      <c r="J16" s="492"/>
      <c r="K16" s="492"/>
      <c r="L16" s="492"/>
      <c r="M16" s="492"/>
      <c r="N16" s="492"/>
      <c r="O16" s="492"/>
      <c r="P16" s="492"/>
      <c r="Q16" s="474"/>
      <c r="R16" s="346"/>
      <c r="S16" s="468">
        <f>'MP 2'!T16</f>
        <v>152.12507179384031</v>
      </c>
      <c r="T16" s="475"/>
      <c r="U16" s="536"/>
      <c r="V16" s="492"/>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row>
    <row r="17" spans="1:49" ht="6" customHeight="1">
      <c r="A17" s="492"/>
      <c r="B17" s="518"/>
      <c r="C17" s="524"/>
      <c r="D17" s="524"/>
      <c r="E17" s="524"/>
      <c r="F17" s="467"/>
      <c r="G17" s="467"/>
      <c r="H17" s="467"/>
      <c r="I17" s="520"/>
      <c r="J17" s="492"/>
      <c r="K17" s="492"/>
      <c r="L17" s="492"/>
      <c r="M17" s="492"/>
      <c r="N17" s="492"/>
      <c r="O17" s="492"/>
      <c r="P17" s="492"/>
      <c r="Q17" s="474"/>
      <c r="R17" s="346"/>
      <c r="S17" s="467"/>
      <c r="T17" s="475"/>
      <c r="U17" s="536"/>
      <c r="V17" s="492"/>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row>
    <row r="18" spans="1:49" ht="27" thickBot="1">
      <c r="A18" s="492"/>
      <c r="B18" s="518"/>
      <c r="C18" s="527" t="s">
        <v>60</v>
      </c>
      <c r="D18" s="527"/>
      <c r="E18" s="527"/>
      <c r="F18" s="470">
        <f>SUM(F8:F16)</f>
        <v>370.50320148574878</v>
      </c>
      <c r="G18" s="528" t="s">
        <v>54</v>
      </c>
      <c r="H18" s="527"/>
      <c r="I18" s="520"/>
      <c r="J18" s="492"/>
      <c r="K18" s="492"/>
      <c r="L18" s="492"/>
      <c r="M18" s="492"/>
      <c r="N18" s="492"/>
      <c r="O18" s="492"/>
      <c r="P18" s="492"/>
      <c r="Q18" s="474"/>
      <c r="R18" s="346"/>
      <c r="S18" s="470">
        <f>SUM(S8:S16)</f>
        <v>361.42530348804041</v>
      </c>
      <c r="T18" s="475"/>
      <c r="U18" s="536"/>
      <c r="V18" s="492"/>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row>
    <row r="19" spans="1:49" ht="41.45" customHeight="1" thickTop="1" thickBot="1">
      <c r="A19" s="492"/>
      <c r="B19" s="518"/>
      <c r="C19" s="467"/>
      <c r="D19" s="467"/>
      <c r="E19" s="467"/>
      <c r="F19" s="468"/>
      <c r="G19" s="467"/>
      <c r="H19" s="467"/>
      <c r="I19" s="520"/>
      <c r="J19" s="492"/>
      <c r="K19" s="492"/>
      <c r="L19" s="492"/>
      <c r="M19" s="492"/>
      <c r="N19" s="492"/>
      <c r="O19" s="492"/>
      <c r="P19" s="492"/>
      <c r="Q19" s="481"/>
      <c r="R19" s="482"/>
      <c r="S19" s="482"/>
      <c r="T19" s="483"/>
      <c r="U19" s="536"/>
      <c r="V19" s="492"/>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row>
    <row r="20" spans="1:49" ht="33.6" customHeight="1">
      <c r="A20" s="492"/>
      <c r="B20" s="518"/>
      <c r="C20" s="529" t="s">
        <v>61</v>
      </c>
      <c r="D20" s="522"/>
      <c r="E20" s="522"/>
      <c r="F20" s="346"/>
      <c r="G20" s="346"/>
      <c r="H20" s="346"/>
      <c r="I20" s="520"/>
      <c r="J20" s="492"/>
      <c r="K20" s="492"/>
      <c r="L20" s="492"/>
      <c r="M20" s="492"/>
      <c r="N20" s="492"/>
      <c r="O20" s="492"/>
      <c r="P20" s="492"/>
      <c r="Q20" s="492"/>
      <c r="R20" s="492"/>
      <c r="S20" s="492"/>
      <c r="T20" s="492"/>
      <c r="U20" s="492"/>
      <c r="V20" s="492"/>
      <c r="W20" s="479"/>
      <c r="X20" s="479"/>
      <c r="Y20" s="479"/>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row>
    <row r="21" spans="1:49" ht="33" customHeight="1">
      <c r="A21" s="492"/>
      <c r="B21" s="518"/>
      <c r="C21" s="602" t="s">
        <v>62</v>
      </c>
      <c r="D21" s="602"/>
      <c r="E21" s="602"/>
      <c r="F21" s="602"/>
      <c r="G21" s="602"/>
      <c r="H21" s="602"/>
      <c r="I21" s="520"/>
      <c r="J21" s="492"/>
      <c r="K21" s="492"/>
      <c r="L21" s="492"/>
      <c r="M21" s="492"/>
      <c r="N21" s="492"/>
      <c r="O21" s="492"/>
      <c r="P21" s="492"/>
      <c r="Q21" s="492"/>
      <c r="R21" s="492"/>
      <c r="S21" s="492"/>
      <c r="T21" s="492"/>
      <c r="U21" s="492"/>
      <c r="V21" s="492"/>
      <c r="W21" s="479"/>
      <c r="X21" s="479"/>
      <c r="Y21" s="479"/>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row>
    <row r="22" spans="1:49" ht="25.15" customHeight="1">
      <c r="A22" s="492"/>
      <c r="B22" s="518"/>
      <c r="C22" s="602"/>
      <c r="D22" s="602"/>
      <c r="E22" s="602"/>
      <c r="F22" s="602"/>
      <c r="G22" s="602"/>
      <c r="H22" s="602"/>
      <c r="I22" s="520"/>
      <c r="J22" s="492"/>
      <c r="K22" s="492"/>
      <c r="L22" s="492"/>
      <c r="M22" s="492"/>
      <c r="N22" s="492"/>
      <c r="O22" s="492"/>
      <c r="P22" s="492"/>
      <c r="Q22" s="492"/>
      <c r="R22" s="492"/>
      <c r="S22" s="492"/>
      <c r="T22" s="492"/>
      <c r="U22" s="492"/>
      <c r="V22" s="492"/>
      <c r="W22" s="479"/>
      <c r="X22" s="479"/>
      <c r="Y22" s="479"/>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row>
    <row r="23" spans="1:49" ht="23.45" customHeight="1">
      <c r="A23" s="492"/>
      <c r="B23" s="518"/>
      <c r="C23" s="602"/>
      <c r="D23" s="602"/>
      <c r="E23" s="602"/>
      <c r="F23" s="602"/>
      <c r="G23" s="602"/>
      <c r="H23" s="602"/>
      <c r="I23" s="520"/>
      <c r="J23" s="492"/>
      <c r="K23" s="492"/>
      <c r="L23" s="492"/>
      <c r="M23" s="492"/>
      <c r="N23" s="492"/>
      <c r="O23" s="492"/>
      <c r="P23" s="492"/>
      <c r="Q23" s="492"/>
      <c r="R23" s="492"/>
      <c r="S23" s="492"/>
      <c r="T23" s="492"/>
      <c r="U23" s="492"/>
      <c r="V23" s="492"/>
      <c r="W23" s="479"/>
      <c r="X23" s="479"/>
      <c r="Y23" s="479"/>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row>
    <row r="24" spans="1:49" ht="23.45" customHeight="1">
      <c r="A24" s="492"/>
      <c r="B24" s="518"/>
      <c r="C24" s="602"/>
      <c r="D24" s="602"/>
      <c r="E24" s="602"/>
      <c r="F24" s="602"/>
      <c r="G24" s="602"/>
      <c r="H24" s="602"/>
      <c r="I24" s="520"/>
      <c r="J24" s="492"/>
      <c r="K24" s="492"/>
      <c r="L24" s="492"/>
      <c r="M24" s="492"/>
      <c r="N24" s="492"/>
      <c r="O24" s="492"/>
      <c r="P24" s="492"/>
      <c r="Q24" s="492"/>
      <c r="R24" s="492"/>
      <c r="S24" s="492"/>
      <c r="T24" s="492"/>
      <c r="U24" s="492"/>
      <c r="V24" s="492"/>
      <c r="W24" s="479"/>
      <c r="X24" s="479"/>
      <c r="Y24" s="479"/>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row>
    <row r="25" spans="1:49" ht="15.6" customHeight="1">
      <c r="A25" s="492"/>
      <c r="B25" s="518"/>
      <c r="C25" s="602"/>
      <c r="D25" s="602"/>
      <c r="E25" s="602"/>
      <c r="F25" s="602"/>
      <c r="G25" s="602"/>
      <c r="H25" s="602"/>
      <c r="I25" s="520"/>
      <c r="J25" s="492"/>
      <c r="K25" s="492"/>
      <c r="L25" s="492"/>
      <c r="M25" s="492"/>
      <c r="N25" s="492"/>
      <c r="O25" s="492"/>
      <c r="P25" s="492"/>
      <c r="Q25" s="492"/>
      <c r="R25" s="492"/>
      <c r="S25" s="492"/>
      <c r="T25" s="492"/>
      <c r="U25" s="492"/>
      <c r="V25" s="492"/>
      <c r="W25" s="479"/>
      <c r="X25" s="479"/>
      <c r="Y25" s="479"/>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row>
    <row r="26" spans="1:49" ht="53.1" customHeight="1" thickBot="1">
      <c r="A26" s="492"/>
      <c r="B26" s="518"/>
      <c r="C26" s="608" t="s">
        <v>63</v>
      </c>
      <c r="D26" s="608"/>
      <c r="E26" s="608"/>
      <c r="F26" s="608"/>
      <c r="G26" s="608"/>
      <c r="H26" s="357"/>
      <c r="I26" s="520"/>
      <c r="J26" s="492"/>
      <c r="K26" s="492"/>
      <c r="L26" s="492"/>
      <c r="M26" s="492"/>
      <c r="N26" s="492"/>
      <c r="O26" s="492"/>
      <c r="P26" s="492"/>
      <c r="Q26" s="492"/>
      <c r="R26" s="492"/>
      <c r="S26" s="492"/>
      <c r="T26" s="492"/>
      <c r="U26" s="492"/>
      <c r="V26" s="492"/>
      <c r="W26" s="479"/>
      <c r="X26" s="479"/>
      <c r="Y26" s="479"/>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row>
    <row r="27" spans="1:49" ht="14.45" customHeight="1" thickBot="1">
      <c r="A27" s="492"/>
      <c r="B27" s="518"/>
      <c r="C27" s="552"/>
      <c r="D27" s="552"/>
      <c r="E27" s="552"/>
      <c r="F27" s="552"/>
      <c r="G27" s="552"/>
      <c r="H27" s="357"/>
      <c r="I27" s="520"/>
      <c r="J27" s="492"/>
      <c r="K27" s="613" t="s">
        <v>64</v>
      </c>
      <c r="L27" s="614"/>
      <c r="M27" s="614"/>
      <c r="N27" s="614"/>
      <c r="O27" s="614"/>
      <c r="P27" s="614"/>
      <c r="Q27" s="614"/>
      <c r="R27" s="614"/>
      <c r="S27" s="614"/>
      <c r="T27" s="615"/>
      <c r="U27" s="492"/>
      <c r="V27" s="492"/>
      <c r="W27" s="479"/>
      <c r="X27" s="479"/>
      <c r="Y27" s="479"/>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row>
    <row r="28" spans="1:49" ht="26.45" customHeight="1" thickTop="1" thickBot="1">
      <c r="A28" s="492"/>
      <c r="B28" s="518"/>
      <c r="C28" s="530"/>
      <c r="D28" s="603" t="s">
        <v>65</v>
      </c>
      <c r="E28" s="604"/>
      <c r="F28" s="471">
        <v>46.6</v>
      </c>
      <c r="G28" s="553"/>
      <c r="H28" s="531" t="s">
        <v>66</v>
      </c>
      <c r="I28" s="520"/>
      <c r="J28" s="492"/>
      <c r="K28" s="616"/>
      <c r="L28" s="617"/>
      <c r="M28" s="617"/>
      <c r="N28" s="617"/>
      <c r="O28" s="617"/>
      <c r="P28" s="617"/>
      <c r="Q28" s="617"/>
      <c r="R28" s="617"/>
      <c r="S28" s="617"/>
      <c r="T28" s="618"/>
      <c r="U28" s="492"/>
      <c r="V28" s="492"/>
      <c r="W28" s="479"/>
      <c r="X28" s="479"/>
      <c r="Y28" s="479"/>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row>
    <row r="29" spans="1:49" ht="18.600000000000001" customHeight="1" thickTop="1">
      <c r="A29" s="492"/>
      <c r="B29" s="518"/>
      <c r="C29" s="593" t="s">
        <v>67</v>
      </c>
      <c r="D29" s="593"/>
      <c r="E29" s="593"/>
      <c r="F29" s="346"/>
      <c r="G29" s="346"/>
      <c r="H29" s="452"/>
      <c r="I29" s="532"/>
      <c r="J29" s="492"/>
      <c r="K29" s="616"/>
      <c r="L29" s="617"/>
      <c r="M29" s="617"/>
      <c r="N29" s="617"/>
      <c r="O29" s="617"/>
      <c r="P29" s="617"/>
      <c r="Q29" s="617"/>
      <c r="R29" s="617"/>
      <c r="S29" s="617"/>
      <c r="T29" s="618"/>
      <c r="U29" s="549"/>
      <c r="V29" s="549"/>
      <c r="W29" s="543"/>
      <c r="X29" s="479"/>
      <c r="Y29" s="479"/>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row>
    <row r="30" spans="1:49" ht="25.15" customHeight="1">
      <c r="A30" s="492"/>
      <c r="B30" s="518"/>
      <c r="C30" s="593"/>
      <c r="D30" s="593"/>
      <c r="E30" s="593"/>
      <c r="F30" s="469">
        <f>(FORSIDE!F20*0.0005*MASKINPRODUKTIVITET!D16)*(1-E13)</f>
        <v>88.4</v>
      </c>
      <c r="G30" s="452" t="s">
        <v>68</v>
      </c>
      <c r="H30" s="452"/>
      <c r="I30" s="532"/>
      <c r="J30" s="492"/>
      <c r="K30" s="616"/>
      <c r="L30" s="617"/>
      <c r="M30" s="617"/>
      <c r="N30" s="617"/>
      <c r="O30" s="617"/>
      <c r="P30" s="617"/>
      <c r="Q30" s="617"/>
      <c r="R30" s="617"/>
      <c r="S30" s="617"/>
      <c r="T30" s="618"/>
      <c r="U30" s="548">
        <f>(FORSIDE!F20*0.0005*'MP 2'!D16)*(1-R13)</f>
        <v>104.00000000000001</v>
      </c>
      <c r="V30" s="492"/>
      <c r="W30" s="479"/>
      <c r="X30" s="479"/>
      <c r="Y30" s="479"/>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row>
    <row r="31" spans="1:49" ht="25.15" customHeight="1" thickBot="1">
      <c r="A31" s="492"/>
      <c r="B31" s="518"/>
      <c r="C31" s="593" t="s">
        <v>69</v>
      </c>
      <c r="D31" s="593"/>
      <c r="E31" s="593"/>
      <c r="F31" s="469">
        <f>(FORSIDE!E29-'FS 2'!E23)*600</f>
        <v>107.99999999999983</v>
      </c>
      <c r="G31" s="533" t="s">
        <v>68</v>
      </c>
      <c r="H31" s="533"/>
      <c r="I31" s="532"/>
      <c r="J31" s="492"/>
      <c r="K31" s="580" t="s">
        <v>70</v>
      </c>
      <c r="L31" s="581"/>
      <c r="M31" s="581"/>
      <c r="N31" s="581"/>
      <c r="O31" s="581"/>
      <c r="P31" s="581"/>
      <c r="Q31" s="581"/>
      <c r="R31" s="581"/>
      <c r="S31" s="581"/>
      <c r="T31" s="582"/>
      <c r="U31" s="492"/>
      <c r="V31" s="492"/>
      <c r="W31" s="479"/>
      <c r="X31" s="479"/>
      <c r="Y31" s="479"/>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row>
    <row r="32" spans="1:49" ht="25.15" customHeight="1" thickTop="1" thickBot="1">
      <c r="A32" s="492"/>
      <c r="B32" s="518"/>
      <c r="C32" s="534" t="s">
        <v>71</v>
      </c>
      <c r="D32" s="514" t="s">
        <v>72</v>
      </c>
      <c r="E32" s="478">
        <v>450</v>
      </c>
      <c r="F32" s="469">
        <f>(FORSIDE!E29-'FS 2'!E23)*'KOSTNAD RYDDETRÆR'!E32</f>
        <v>80.999999999999872</v>
      </c>
      <c r="G32" s="533" t="s">
        <v>68</v>
      </c>
      <c r="H32" s="533"/>
      <c r="I32" s="532"/>
      <c r="J32" s="492"/>
      <c r="K32" s="580"/>
      <c r="L32" s="581"/>
      <c r="M32" s="581"/>
      <c r="N32" s="581"/>
      <c r="O32" s="581"/>
      <c r="P32" s="581"/>
      <c r="Q32" s="581"/>
      <c r="R32" s="581"/>
      <c r="S32" s="581"/>
      <c r="T32" s="582"/>
      <c r="U32" s="492"/>
      <c r="V32" s="492"/>
      <c r="W32" s="479"/>
      <c r="X32" s="479"/>
      <c r="Y32" s="479"/>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row>
    <row r="33" spans="1:49" ht="21.6" customHeight="1" thickTop="1" thickBot="1">
      <c r="A33" s="492"/>
      <c r="B33" s="518"/>
      <c r="C33" s="594" t="s">
        <v>73</v>
      </c>
      <c r="D33" s="594"/>
      <c r="E33" s="594"/>
      <c r="F33" s="596">
        <f>(F30+F31-F32)/LOOKUP(F28,'HJELPETAB. TYNNING OG SKOGFOND'!K22:P22,'HJELPETAB. TYNNING OG SKOGFOND'!K23:P23)</f>
        <v>446.87164612037708</v>
      </c>
      <c r="G33" s="598" t="s">
        <v>68</v>
      </c>
      <c r="H33" s="598"/>
      <c r="I33" s="599"/>
      <c r="J33" s="492"/>
      <c r="K33" s="583"/>
      <c r="L33" s="584"/>
      <c r="M33" s="584"/>
      <c r="N33" s="584"/>
      <c r="O33" s="584"/>
      <c r="P33" s="584"/>
      <c r="Q33" s="584"/>
      <c r="R33" s="584"/>
      <c r="S33" s="584"/>
      <c r="T33" s="585"/>
      <c r="U33" s="546"/>
      <c r="V33" s="546"/>
      <c r="W33" s="545"/>
      <c r="X33" s="479"/>
      <c r="Y33" s="479"/>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row>
    <row r="34" spans="1:49" s="547" customFormat="1" ht="76.7" customHeight="1" thickBot="1">
      <c r="A34" s="492"/>
      <c r="B34" s="535"/>
      <c r="C34" s="595"/>
      <c r="D34" s="595"/>
      <c r="E34" s="595"/>
      <c r="F34" s="597"/>
      <c r="G34" s="600"/>
      <c r="H34" s="600"/>
      <c r="I34" s="601"/>
      <c r="J34" s="492"/>
      <c r="K34" s="546"/>
      <c r="L34" s="546"/>
      <c r="M34" s="546"/>
      <c r="N34" s="546"/>
      <c r="O34" s="546"/>
      <c r="P34" s="546"/>
      <c r="Q34" s="546"/>
      <c r="R34" s="546"/>
      <c r="S34" s="546"/>
      <c r="T34" s="546"/>
      <c r="U34" s="546"/>
      <c r="V34" s="546"/>
      <c r="W34" s="544"/>
      <c r="X34" s="480"/>
      <c r="Y34" s="480"/>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row>
    <row r="35" spans="1:49" ht="15.6" customHeight="1" thickTop="1">
      <c r="A35" s="536"/>
      <c r="B35" s="536"/>
      <c r="C35" s="536"/>
      <c r="D35" s="536"/>
      <c r="E35" s="536"/>
      <c r="F35" s="536"/>
      <c r="G35" s="536"/>
      <c r="H35" s="536"/>
      <c r="I35" s="536"/>
      <c r="J35" s="536"/>
      <c r="K35" s="546"/>
      <c r="L35" s="546"/>
      <c r="M35" s="546"/>
      <c r="N35" s="546"/>
      <c r="O35" s="546"/>
      <c r="P35" s="546"/>
      <c r="Q35" s="546"/>
      <c r="R35" s="546"/>
      <c r="S35" s="546"/>
      <c r="T35" s="546"/>
      <c r="U35" s="546"/>
      <c r="V35" s="546"/>
      <c r="W35" s="544"/>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row>
    <row r="36" spans="1:49" hidden="1">
      <c r="A36" s="303"/>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row>
    <row r="37" spans="1:49" hidden="1">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row>
    <row r="38" spans="1:49" hidden="1">
      <c r="A38" s="303"/>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row>
    <row r="39" spans="1:49" hidden="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row>
    <row r="40" spans="1:49" hidden="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row>
    <row r="41" spans="1:49" hidden="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row>
    <row r="42" spans="1:49" hidden="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row>
    <row r="43" spans="1:49" hidden="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row>
    <row r="44" spans="1:49" hidden="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row>
    <row r="45" spans="1:49" hidden="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row>
    <row r="46" spans="1:49" hidden="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row>
    <row r="47" spans="1:49" hidden="1">
      <c r="A47" s="303"/>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row>
    <row r="48" spans="1:49" hidden="1">
      <c r="A48" s="303"/>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row>
    <row r="49" spans="1:49" hidden="1">
      <c r="A49" s="303"/>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row>
    <row r="50" spans="1:49" hidden="1">
      <c r="A50" s="303"/>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row>
    <row r="51" spans="1:49" hidden="1">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row>
    <row r="52" spans="1:49" hidden="1">
      <c r="A52" s="303"/>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row>
    <row r="53" spans="1:49" hidden="1">
      <c r="A53" s="303"/>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row>
    <row r="54" spans="1:49" hidden="1">
      <c r="A54" s="303"/>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row>
    <row r="55" spans="1:49" hidden="1">
      <c r="A55" s="303"/>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row>
    <row r="56" spans="1:49" hidden="1">
      <c r="A56" s="303"/>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row>
    <row r="57" spans="1:49" hidden="1">
      <c r="A57" s="303"/>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row>
    <row r="58" spans="1:49" hidden="1">
      <c r="A58" s="303"/>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row>
    <row r="59" spans="1:49" hidden="1">
      <c r="A59" s="303"/>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row>
    <row r="60" spans="1:49" hidden="1">
      <c r="A60" s="303"/>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row>
    <row r="61" spans="1:49" hidden="1">
      <c r="A61" s="303"/>
      <c r="B61" s="303"/>
      <c r="C61" s="303"/>
      <c r="D61" s="303"/>
      <c r="E61" s="303"/>
      <c r="F61" s="303"/>
      <c r="G61" s="303"/>
      <c r="H61" s="303"/>
      <c r="I61" s="303"/>
      <c r="J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row>
    <row r="62" spans="1:49" hidden="1">
      <c r="A62" s="303"/>
      <c r="B62" s="303"/>
      <c r="C62" s="303"/>
      <c r="D62" s="303"/>
      <c r="E62" s="303"/>
      <c r="F62" s="303"/>
      <c r="G62" s="303"/>
      <c r="H62" s="303"/>
      <c r="I62" s="303"/>
      <c r="J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row>
    <row r="63" spans="1:49" hidden="1">
      <c r="A63" s="303"/>
      <c r="B63" s="303"/>
      <c r="C63" s="303"/>
      <c r="D63" s="303"/>
      <c r="E63" s="303"/>
      <c r="F63" s="303"/>
      <c r="G63" s="303"/>
      <c r="H63" s="303"/>
      <c r="I63" s="303"/>
      <c r="J63" s="303"/>
    </row>
    <row r="64" spans="1:49" hidden="1">
      <c r="A64" s="303"/>
      <c r="B64" s="303"/>
      <c r="C64" s="303"/>
      <c r="D64" s="303"/>
      <c r="E64" s="303"/>
      <c r="F64" s="303"/>
      <c r="G64" s="303"/>
      <c r="H64" s="303"/>
      <c r="I64" s="303"/>
      <c r="J64" s="303"/>
    </row>
    <row r="65" spans="1:10" hidden="1">
      <c r="A65" s="303"/>
      <c r="B65" s="303"/>
      <c r="C65" s="303"/>
      <c r="D65" s="303"/>
      <c r="E65" s="303"/>
      <c r="F65" s="303"/>
      <c r="G65" s="303"/>
      <c r="H65" s="303"/>
      <c r="I65" s="303"/>
      <c r="J65" s="303"/>
    </row>
    <row r="66" spans="1:10" hidden="1">
      <c r="A66" s="303"/>
      <c r="B66" s="303"/>
      <c r="C66" s="303"/>
      <c r="D66" s="303"/>
      <c r="E66" s="303"/>
      <c r="F66" s="303"/>
      <c r="G66" s="303"/>
      <c r="H66" s="303"/>
      <c r="I66" s="303"/>
      <c r="J66" s="303"/>
    </row>
    <row r="67" spans="1:10" hidden="1">
      <c r="A67" s="303"/>
      <c r="B67" s="303"/>
      <c r="C67" s="303"/>
      <c r="D67" s="303"/>
      <c r="E67" s="303"/>
      <c r="F67" s="303"/>
      <c r="G67" s="303"/>
      <c r="H67" s="303"/>
      <c r="I67" s="303"/>
      <c r="J67" s="303"/>
    </row>
    <row r="68" spans="1:10" hidden="1">
      <c r="A68" s="303"/>
      <c r="B68" s="303"/>
      <c r="C68" s="303"/>
      <c r="D68" s="303"/>
      <c r="E68" s="303"/>
      <c r="F68" s="303"/>
      <c r="G68" s="303"/>
      <c r="H68" s="303"/>
      <c r="I68" s="303"/>
      <c r="J68" s="303"/>
    </row>
    <row r="69" spans="1:10" hidden="1">
      <c r="A69" s="303"/>
      <c r="B69" s="303"/>
      <c r="C69" s="303"/>
      <c r="D69" s="303"/>
      <c r="E69" s="303"/>
      <c r="F69" s="303"/>
      <c r="G69" s="303"/>
      <c r="H69" s="303"/>
      <c r="I69" s="303"/>
      <c r="J69" s="303"/>
    </row>
    <row r="70" spans="1:10" hidden="1">
      <c r="A70" s="303"/>
      <c r="B70" s="303"/>
      <c r="C70" s="303"/>
      <c r="D70" s="303"/>
      <c r="E70" s="303"/>
      <c r="F70" s="303"/>
      <c r="G70" s="303"/>
      <c r="H70" s="303"/>
      <c r="I70" s="303"/>
      <c r="J70" s="303"/>
    </row>
    <row r="71" spans="1:10" hidden="1">
      <c r="A71" s="303"/>
      <c r="B71" s="303"/>
      <c r="C71" s="303"/>
      <c r="D71" s="303"/>
      <c r="E71" s="303"/>
      <c r="F71" s="303"/>
      <c r="G71" s="303"/>
      <c r="H71" s="303"/>
      <c r="I71" s="303"/>
      <c r="J71" s="303"/>
    </row>
    <row r="72" spans="1:10" hidden="1">
      <c r="A72" s="303"/>
      <c r="B72" s="303"/>
      <c r="C72" s="303"/>
      <c r="D72" s="303"/>
      <c r="E72" s="303"/>
      <c r="F72" s="303"/>
      <c r="G72" s="303"/>
      <c r="H72" s="303"/>
      <c r="I72" s="303"/>
      <c r="J72" s="303"/>
    </row>
    <row r="73" spans="1:10" hidden="1">
      <c r="A73" s="303"/>
      <c r="B73" s="303"/>
      <c r="C73" s="303"/>
      <c r="D73" s="303"/>
      <c r="E73" s="303"/>
      <c r="F73" s="303"/>
      <c r="G73" s="303"/>
      <c r="H73" s="303"/>
      <c r="I73" s="303"/>
      <c r="J73" s="303"/>
    </row>
    <row r="74" spans="1:10" hidden="1">
      <c r="A74" s="303"/>
      <c r="B74" s="303"/>
      <c r="C74" s="303"/>
      <c r="D74" s="303"/>
      <c r="E74" s="303"/>
      <c r="F74" s="303"/>
      <c r="G74" s="303"/>
      <c r="H74" s="303"/>
      <c r="I74" s="303"/>
      <c r="J74" s="303"/>
    </row>
    <row r="75" spans="1:10" hidden="1">
      <c r="A75" s="303"/>
      <c r="B75" s="303"/>
      <c r="C75" s="303"/>
      <c r="D75" s="303"/>
      <c r="E75" s="303"/>
      <c r="F75" s="303"/>
      <c r="G75" s="303"/>
      <c r="H75" s="303"/>
      <c r="I75" s="303"/>
      <c r="J75" s="303"/>
    </row>
    <row r="76" spans="1:10" hidden="1">
      <c r="A76" s="303"/>
      <c r="B76" s="303"/>
      <c r="C76" s="303"/>
      <c r="D76" s="303"/>
      <c r="E76" s="303"/>
      <c r="F76" s="303"/>
      <c r="G76" s="303"/>
      <c r="H76" s="303"/>
      <c r="I76" s="303"/>
      <c r="J76" s="303"/>
    </row>
    <row r="77" spans="1:10" hidden="1">
      <c r="A77" s="303"/>
      <c r="B77" s="303"/>
      <c r="C77" s="303"/>
      <c r="D77" s="303"/>
      <c r="E77" s="303"/>
      <c r="F77" s="303"/>
      <c r="G77" s="303"/>
      <c r="H77" s="303"/>
      <c r="I77" s="303"/>
      <c r="J77" s="303"/>
    </row>
    <row r="78" spans="1:10" hidden="1">
      <c r="A78" s="303"/>
      <c r="B78" s="303"/>
      <c r="C78" s="303"/>
      <c r="D78" s="303"/>
      <c r="E78" s="303"/>
      <c r="F78" s="303"/>
      <c r="G78" s="303"/>
      <c r="H78" s="303"/>
      <c r="I78" s="303"/>
      <c r="J78" s="303"/>
    </row>
    <row r="79" spans="1:10" hidden="1">
      <c r="A79" s="303"/>
      <c r="B79" s="303"/>
      <c r="C79" s="303"/>
      <c r="D79" s="303"/>
      <c r="E79" s="303"/>
      <c r="F79" s="303"/>
      <c r="G79" s="303"/>
      <c r="H79" s="303"/>
      <c r="I79" s="303"/>
      <c r="J79" s="303"/>
    </row>
    <row r="80" spans="1:10" hidden="1">
      <c r="A80" s="303"/>
      <c r="B80" s="303"/>
      <c r="C80" s="303"/>
      <c r="D80" s="303"/>
      <c r="E80" s="303"/>
      <c r="F80" s="303"/>
      <c r="G80" s="303"/>
      <c r="H80" s="303"/>
      <c r="I80" s="303"/>
      <c r="J80" s="303"/>
    </row>
    <row r="81" spans="1:10" hidden="1">
      <c r="A81" s="303"/>
      <c r="B81" s="303"/>
      <c r="C81" s="303"/>
      <c r="D81" s="303"/>
      <c r="E81" s="303"/>
      <c r="F81" s="303"/>
      <c r="G81" s="303"/>
      <c r="H81" s="303"/>
      <c r="I81" s="303"/>
      <c r="J81" s="303"/>
    </row>
    <row r="82" spans="1:10" hidden="1">
      <c r="A82" s="303"/>
      <c r="B82" s="303"/>
      <c r="C82" s="303"/>
      <c r="D82" s="303"/>
      <c r="E82" s="303"/>
      <c r="F82" s="303"/>
      <c r="G82" s="303"/>
      <c r="H82" s="303"/>
      <c r="I82" s="303"/>
      <c r="J82" s="303"/>
    </row>
    <row r="83" spans="1:10" hidden="1">
      <c r="A83" s="303"/>
      <c r="B83" s="303"/>
      <c r="C83" s="303"/>
      <c r="D83" s="303"/>
      <c r="E83" s="303"/>
      <c r="F83" s="303"/>
      <c r="G83" s="303"/>
      <c r="H83" s="303"/>
      <c r="I83" s="303"/>
      <c r="J83" s="303"/>
    </row>
    <row r="84" spans="1:10" hidden="1">
      <c r="A84" s="303"/>
      <c r="B84" s="303"/>
      <c r="C84" s="303"/>
      <c r="D84" s="303"/>
      <c r="E84" s="303"/>
      <c r="F84" s="303"/>
      <c r="G84" s="303"/>
      <c r="H84" s="303"/>
      <c r="I84" s="303"/>
      <c r="J84" s="303"/>
    </row>
    <row r="85" spans="1:10" hidden="1">
      <c r="A85" s="303"/>
    </row>
    <row r="86" spans="1:10" hidden="1">
      <c r="A86" s="303"/>
    </row>
    <row r="87" spans="1:10" hidden="1">
      <c r="A87" s="303"/>
    </row>
    <row r="88" spans="1:10" hidden="1">
      <c r="A88" s="303"/>
    </row>
    <row r="89" spans="1:10" hidden="1">
      <c r="A89" s="303"/>
    </row>
    <row r="90" spans="1:10" hidden="1">
      <c r="A90" s="303"/>
    </row>
    <row r="91" spans="1:10" hidden="1">
      <c r="A91" s="303"/>
    </row>
    <row r="92" spans="1:10" hidden="1">
      <c r="A92" s="303"/>
    </row>
    <row r="93" spans="1:10" hidden="1">
      <c r="A93" s="303"/>
    </row>
    <row r="94" spans="1:10" hidden="1">
      <c r="A94" s="303"/>
    </row>
    <row r="95" spans="1:10" hidden="1">
      <c r="A95" s="303"/>
    </row>
    <row r="96" spans="1:10" hidden="1">
      <c r="A96" s="303"/>
    </row>
    <row r="97" spans="1:1" hidden="1">
      <c r="A97" s="303"/>
    </row>
    <row r="98" spans="1:1" hidden="1">
      <c r="A98" s="303"/>
    </row>
    <row r="99" spans="1:1" hidden="1">
      <c r="A99" s="303"/>
    </row>
    <row r="100" spans="1:1" hidden="1">
      <c r="A100" s="303"/>
    </row>
    <row r="101" spans="1:1" hidden="1">
      <c r="A101" s="303"/>
    </row>
    <row r="102" spans="1:1" hidden="1">
      <c r="A102" s="303"/>
    </row>
    <row r="103" spans="1:1" hidden="1">
      <c r="A103" s="303"/>
    </row>
    <row r="104" spans="1:1" hidden="1">
      <c r="A104" s="303"/>
    </row>
    <row r="105" spans="1:1" hidden="1">
      <c r="A105" s="303"/>
    </row>
    <row r="106" spans="1:1" hidden="1">
      <c r="A106" s="303"/>
    </row>
    <row r="107" spans="1:1" hidden="1">
      <c r="A107" s="303"/>
    </row>
    <row r="108" spans="1:1" hidden="1">
      <c r="A108" s="303"/>
    </row>
    <row r="109" spans="1:1" hidden="1">
      <c r="A109" s="303"/>
    </row>
    <row r="110" spans="1:1" hidden="1">
      <c r="A110" s="303"/>
    </row>
    <row r="111" spans="1:1" hidden="1">
      <c r="A111" s="303"/>
    </row>
    <row r="112" spans="1:1" hidden="1">
      <c r="A112" s="303"/>
    </row>
    <row r="113" spans="1:1" hidden="1">
      <c r="A113" s="303"/>
    </row>
    <row r="114" spans="1:1" hidden="1">
      <c r="A114" s="303"/>
    </row>
    <row r="115" spans="1:1" hidden="1">
      <c r="A115" s="303"/>
    </row>
    <row r="116" spans="1:1" hidden="1">
      <c r="A116" s="303"/>
    </row>
    <row r="117" spans="1:1" hidden="1">
      <c r="A117" s="303"/>
    </row>
    <row r="118" spans="1:1" hidden="1">
      <c r="A118" s="303"/>
    </row>
    <row r="119" spans="1:1" hidden="1">
      <c r="A119" s="303"/>
    </row>
    <row r="120" spans="1:1" hidden="1">
      <c r="A120" s="303"/>
    </row>
    <row r="121" spans="1:1" hidden="1">
      <c r="A121" s="303"/>
    </row>
    <row r="122" spans="1:1" hidden="1">
      <c r="A122" s="303"/>
    </row>
    <row r="123" spans="1:1" hidden="1">
      <c r="A123" s="303"/>
    </row>
    <row r="124" spans="1:1" hidden="1">
      <c r="A124" s="303"/>
    </row>
    <row r="125" spans="1:1" hidden="1">
      <c r="A125" s="303"/>
    </row>
    <row r="126" spans="1:1" hidden="1">
      <c r="A126" s="303"/>
    </row>
    <row r="127" spans="1:1" hidden="1">
      <c r="A127" s="303"/>
    </row>
    <row r="128" spans="1:1" hidden="1">
      <c r="A128" s="303"/>
    </row>
    <row r="129" spans="1:1" hidden="1">
      <c r="A129" s="303"/>
    </row>
    <row r="130" spans="1:1" hidden="1">
      <c r="A130" s="303"/>
    </row>
    <row r="131" spans="1:1" hidden="1">
      <c r="A131" s="303"/>
    </row>
    <row r="132" spans="1:1" hidden="1">
      <c r="A132" s="303"/>
    </row>
    <row r="133" spans="1:1" hidden="1">
      <c r="A133" s="303"/>
    </row>
  </sheetData>
  <sheetProtection insertHyperlinks="0" selectLockedCells="1"/>
  <mergeCells count="15">
    <mergeCell ref="K31:T33"/>
    <mergeCell ref="Q5:T7"/>
    <mergeCell ref="X8:Y8"/>
    <mergeCell ref="C29:E30"/>
    <mergeCell ref="C33:E34"/>
    <mergeCell ref="F33:F34"/>
    <mergeCell ref="G33:I34"/>
    <mergeCell ref="C21:H25"/>
    <mergeCell ref="D28:E28"/>
    <mergeCell ref="E13:E15"/>
    <mergeCell ref="C26:G26"/>
    <mergeCell ref="D13:D15"/>
    <mergeCell ref="C31:E31"/>
    <mergeCell ref="C12:D12"/>
    <mergeCell ref="K27:T30"/>
  </mergeCells>
  <pageMargins left="0.25" right="0.25" top="0.75" bottom="0.75" header="0.3" footer="0.3"/>
  <pageSetup paperSize="9" scale="61" orientation="landscape"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200-000000000000}">
          <x14:formula1>
            <xm:f>'HJELPETAB. TYNNING OG SKOGFOND'!$K$22:$Q$22</xm:f>
          </x14:formula1>
          <xm:sqref>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78"/>
  <sheetViews>
    <sheetView showGridLines="0" showRowColHeaders="0" zoomScale="95" zoomScaleNormal="95" workbookViewId="0">
      <pane ySplit="5" topLeftCell="A6" activePane="bottomLeft" state="frozen"/>
      <selection pane="bottomLeft" activeCell="S8" sqref="S8"/>
      <selection activeCell="E9" sqref="E9"/>
    </sheetView>
  </sheetViews>
  <sheetFormatPr defaultColWidth="0" defaultRowHeight="15" zeroHeight="1"/>
  <cols>
    <col min="1" max="2" width="2.140625" style="81" customWidth="1"/>
    <col min="3" max="3" width="24.140625" style="81" customWidth="1"/>
    <col min="4" max="5" width="15.7109375" style="81" customWidth="1"/>
    <col min="6" max="6" width="11.85546875" style="81" customWidth="1"/>
    <col min="7" max="7" width="9.5703125" style="81" customWidth="1"/>
    <col min="8" max="8" width="18.7109375" style="81" customWidth="1"/>
    <col min="9" max="9" width="2.7109375" style="81" customWidth="1"/>
    <col min="10" max="11" width="6.85546875" style="81" customWidth="1"/>
    <col min="12" max="12" width="10.28515625" style="81" customWidth="1"/>
    <col min="13" max="13" width="7.28515625" style="81" customWidth="1"/>
    <col min="14" max="15" width="2.140625" style="81" customWidth="1"/>
    <col min="16" max="16" width="24.140625" style="81" customWidth="1"/>
    <col min="17" max="18" width="15.7109375" style="81" customWidth="1"/>
    <col min="19" max="19" width="11.85546875" style="81" customWidth="1"/>
    <col min="20" max="20" width="9.5703125" style="81" customWidth="1"/>
    <col min="21" max="21" width="18.7109375" style="81" customWidth="1"/>
    <col min="22" max="22" width="6.7109375" style="81" customWidth="1"/>
    <col min="23" max="23" width="6.85546875" style="81" customWidth="1"/>
    <col min="24" max="24" width="8" style="81" customWidth="1"/>
    <col min="25" max="25" width="9" style="81" customWidth="1"/>
    <col min="26" max="26" width="6.28515625" style="81" customWidth="1"/>
    <col min="27" max="27" width="1.85546875" style="81" customWidth="1"/>
    <col min="28" max="28" width="2" style="81" customWidth="1"/>
    <col min="29" max="53" width="0" style="81" hidden="1" customWidth="1"/>
    <col min="54" max="16384" width="9" style="81" hidden="1"/>
  </cols>
  <sheetData>
    <row r="1" spans="1:53" s="508" customFormat="1" ht="12" customHeight="1">
      <c r="A1" s="507"/>
    </row>
    <row r="2" spans="1:53" s="508" customFormat="1" ht="12" customHeight="1"/>
    <row r="3" spans="1:53" s="508" customFormat="1" ht="12" customHeight="1"/>
    <row r="4" spans="1:53" ht="19.5">
      <c r="A4" s="301"/>
      <c r="B4" s="305"/>
      <c r="C4" s="305"/>
      <c r="D4" s="305"/>
      <c r="E4" s="305"/>
      <c r="F4" s="305"/>
      <c r="G4" s="305"/>
      <c r="H4" s="305"/>
      <c r="I4" s="305"/>
      <c r="J4" s="305"/>
      <c r="K4" s="305"/>
      <c r="L4" s="305"/>
      <c r="M4" s="305"/>
      <c r="N4" s="301"/>
      <c r="O4" s="305"/>
      <c r="P4" s="305"/>
      <c r="Q4" s="305"/>
      <c r="R4" s="305"/>
      <c r="S4" s="305"/>
      <c r="T4" s="305"/>
      <c r="U4" s="305"/>
      <c r="V4" s="305"/>
      <c r="W4" s="305"/>
      <c r="X4" s="305"/>
      <c r="Y4" s="305"/>
      <c r="Z4" s="305"/>
      <c r="AA4" s="305"/>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row>
    <row r="5" spans="1:53" ht="36.75" thickBot="1">
      <c r="A5" s="301"/>
      <c r="B5" s="305"/>
      <c r="C5" s="319" t="s">
        <v>74</v>
      </c>
      <c r="D5" s="319"/>
      <c r="E5" s="320"/>
      <c r="F5" s="320"/>
      <c r="G5" s="321"/>
      <c r="H5" s="320"/>
      <c r="I5" s="320"/>
      <c r="J5" s="320"/>
      <c r="K5" s="322"/>
      <c r="L5" s="322"/>
      <c r="M5" s="320"/>
      <c r="N5" s="301"/>
      <c r="O5" s="305"/>
      <c r="P5" s="319" t="s">
        <v>75</v>
      </c>
      <c r="Q5" s="319"/>
      <c r="R5" s="320"/>
      <c r="S5" s="320"/>
      <c r="T5" s="321"/>
      <c r="U5" s="320"/>
      <c r="V5" s="320"/>
      <c r="W5" s="320"/>
      <c r="X5" s="322"/>
      <c r="Y5" s="320"/>
      <c r="Z5" s="320"/>
      <c r="AA5" s="305"/>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row>
    <row r="6" spans="1:53" ht="50.25" customHeight="1" thickTop="1">
      <c r="A6" s="301"/>
      <c r="B6" s="305"/>
      <c r="C6" s="323" t="s">
        <v>76</v>
      </c>
      <c r="D6" s="305"/>
      <c r="E6" s="305"/>
      <c r="F6" s="305"/>
      <c r="G6" s="305"/>
      <c r="H6" s="305"/>
      <c r="I6" s="305"/>
      <c r="J6" s="305"/>
      <c r="K6" s="324"/>
      <c r="L6" s="324"/>
      <c r="M6" s="305"/>
      <c r="N6" s="301"/>
      <c r="O6" s="305"/>
      <c r="P6" s="323" t="s">
        <v>76</v>
      </c>
      <c r="Q6" s="305"/>
      <c r="R6" s="305"/>
      <c r="S6" s="305"/>
      <c r="T6" s="305"/>
      <c r="U6" s="305"/>
      <c r="V6" s="305"/>
      <c r="W6" s="305"/>
      <c r="X6" s="324"/>
      <c r="Y6" s="305"/>
      <c r="Z6" s="305"/>
      <c r="AA6" s="305"/>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row>
    <row r="7" spans="1:53" ht="36" customHeight="1" thickBot="1">
      <c r="A7" s="301"/>
      <c r="B7" s="305"/>
      <c r="C7" s="325" t="s">
        <v>77</v>
      </c>
      <c r="D7" s="325" t="s">
        <v>78</v>
      </c>
      <c r="E7" s="325" t="s">
        <v>79</v>
      </c>
      <c r="F7" s="325" t="s">
        <v>80</v>
      </c>
      <c r="G7" s="305"/>
      <c r="H7" s="305"/>
      <c r="I7" s="305"/>
      <c r="J7" s="305"/>
      <c r="K7" s="326"/>
      <c r="L7" s="326"/>
      <c r="M7" s="305"/>
      <c r="N7" s="301"/>
      <c r="O7" s="305"/>
      <c r="P7" s="325" t="s">
        <v>77</v>
      </c>
      <c r="Q7" s="325" t="s">
        <v>78</v>
      </c>
      <c r="R7" s="325" t="s">
        <v>79</v>
      </c>
      <c r="S7" s="325" t="s">
        <v>80</v>
      </c>
      <c r="T7" s="305"/>
      <c r="U7" s="305"/>
      <c r="V7" s="305"/>
      <c r="W7" s="305"/>
      <c r="X7" s="326"/>
      <c r="Y7" s="305"/>
      <c r="Z7" s="305"/>
      <c r="AA7" s="305"/>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row>
    <row r="8" spans="1:53" ht="30.75" customHeight="1" thickTop="1" thickBot="1">
      <c r="A8" s="301"/>
      <c r="B8" s="305"/>
      <c r="C8" s="509">
        <v>43018</v>
      </c>
      <c r="D8" s="477">
        <f>FORSIDE!E31</f>
        <v>277.12009199999994</v>
      </c>
      <c r="E8" s="510">
        <v>9</v>
      </c>
      <c r="F8" s="510">
        <v>1</v>
      </c>
      <c r="G8" s="305"/>
      <c r="H8" s="305" t="s">
        <v>81</v>
      </c>
      <c r="I8" s="305"/>
      <c r="J8" s="305" t="s">
        <v>82</v>
      </c>
      <c r="K8" s="305"/>
      <c r="L8" s="305"/>
      <c r="M8" s="305"/>
      <c r="N8" s="301"/>
      <c r="O8" s="305"/>
      <c r="P8" s="509">
        <v>43025</v>
      </c>
      <c r="Q8" s="477">
        <f>D8</f>
        <v>277.12009199999994</v>
      </c>
      <c r="R8" s="511">
        <v>8</v>
      </c>
      <c r="S8" s="510">
        <v>2</v>
      </c>
      <c r="T8" s="305"/>
      <c r="U8" s="305" t="s">
        <v>81</v>
      </c>
      <c r="V8" s="305"/>
      <c r="W8" s="305" t="s">
        <v>82</v>
      </c>
      <c r="X8" s="305"/>
      <c r="Y8" s="305"/>
      <c r="Z8" s="305"/>
      <c r="AA8" s="305"/>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row>
    <row r="9" spans="1:53" ht="21.75" customHeight="1" thickTop="1">
      <c r="A9" s="301"/>
      <c r="B9" s="305"/>
      <c r="C9" s="305"/>
      <c r="D9" s="305"/>
      <c r="E9" s="305"/>
      <c r="F9" s="305"/>
      <c r="G9" s="305"/>
      <c r="H9" s="303" t="s">
        <v>83</v>
      </c>
      <c r="I9" s="303">
        <v>0</v>
      </c>
      <c r="J9" s="303" t="s">
        <v>84</v>
      </c>
      <c r="K9" s="327">
        <f>'PROD.NORMER TABELL'!I16</f>
        <v>11.164954064271425</v>
      </c>
      <c r="L9" s="305"/>
      <c r="M9" s="305"/>
      <c r="N9" s="301"/>
      <c r="O9" s="305"/>
      <c r="P9" s="305"/>
      <c r="Q9" s="305"/>
      <c r="R9" s="461"/>
      <c r="S9" s="305"/>
      <c r="T9" s="305"/>
      <c r="U9" s="303" t="s">
        <v>83</v>
      </c>
      <c r="V9" s="303">
        <v>0</v>
      </c>
      <c r="W9" s="303" t="s">
        <v>84</v>
      </c>
      <c r="X9" s="327">
        <f>'PROD.NORMER TABELL'!I29</f>
        <v>11.857598727638321</v>
      </c>
      <c r="Y9" s="305"/>
      <c r="Z9" s="305"/>
      <c r="AA9" s="305"/>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row>
    <row r="10" spans="1:53" ht="26.25" customHeight="1">
      <c r="A10" s="301"/>
      <c r="B10" s="305"/>
      <c r="C10" s="328" t="s">
        <v>85</v>
      </c>
      <c r="D10" s="621" t="s">
        <v>86</v>
      </c>
      <c r="E10" s="622"/>
      <c r="F10" s="343" t="s">
        <v>87</v>
      </c>
      <c r="G10" s="305"/>
      <c r="H10" s="303" t="s">
        <v>88</v>
      </c>
      <c r="I10" s="303">
        <v>30</v>
      </c>
      <c r="J10" s="303" t="s">
        <v>89</v>
      </c>
      <c r="K10" s="303">
        <v>1</v>
      </c>
      <c r="L10" s="305"/>
      <c r="M10" s="305"/>
      <c r="N10" s="301"/>
      <c r="O10" s="305"/>
      <c r="P10" s="328" t="s">
        <v>85</v>
      </c>
      <c r="Q10" s="621" t="s">
        <v>86</v>
      </c>
      <c r="R10" s="622"/>
      <c r="S10" s="343" t="s">
        <v>87</v>
      </c>
      <c r="T10" s="305"/>
      <c r="U10" s="303" t="s">
        <v>88</v>
      </c>
      <c r="V10" s="303">
        <v>30</v>
      </c>
      <c r="W10" s="303" t="s">
        <v>89</v>
      </c>
      <c r="X10" s="303">
        <v>1</v>
      </c>
      <c r="Y10" s="305"/>
      <c r="Z10" s="305"/>
      <c r="AA10" s="305"/>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row>
    <row r="11" spans="1:53" ht="61.5">
      <c r="A11" s="301"/>
      <c r="B11" s="305"/>
      <c r="C11" s="329">
        <f>StartDato+(D8/'PROD.NORMER TABELL'!I16)/(E8*F8)</f>
        <v>43020.757836812947</v>
      </c>
      <c r="D11" s="619">
        <f>(D8/'PROD.NORMER TABELL'!I16)/(E8*F8)</f>
        <v>2.7578368129490927</v>
      </c>
      <c r="E11" s="620"/>
      <c r="F11" s="330">
        <f>(D8/'PROD.NORMER TABELL'!I16)/E8</f>
        <v>2.7578368129490927</v>
      </c>
      <c r="G11" s="305"/>
      <c r="H11" s="303" t="s">
        <v>90</v>
      </c>
      <c r="I11" s="303">
        <v>30</v>
      </c>
      <c r="J11" s="303" t="s">
        <v>91</v>
      </c>
      <c r="K11" s="303">
        <f>100-(K9+K10)</f>
        <v>87.835045935728573</v>
      </c>
      <c r="L11" s="305"/>
      <c r="M11" s="305"/>
      <c r="N11" s="301"/>
      <c r="O11" s="305"/>
      <c r="P11" s="329">
        <f>P8+(Q8/'PROD.NORMER TABELL'!I29)/(R8*S8)</f>
        <v>43026.460667218365</v>
      </c>
      <c r="Q11" s="626">
        <f>(Q8/'PROD.NORMER TABELL'!I29)/(R8*S8)</f>
        <v>1.4606672183660261</v>
      </c>
      <c r="R11" s="620"/>
      <c r="S11" s="330">
        <f>(Q8/'PROD.NORMER TABELL'!I29)/R8</f>
        <v>2.9213344367320522</v>
      </c>
      <c r="T11" s="305"/>
      <c r="U11" s="303" t="s">
        <v>90</v>
      </c>
      <c r="V11" s="303">
        <v>30</v>
      </c>
      <c r="W11" s="303" t="s">
        <v>91</v>
      </c>
      <c r="X11" s="303">
        <f>100-(X9+X10)</f>
        <v>87.142401272361681</v>
      </c>
      <c r="Y11" s="305"/>
      <c r="Z11" s="305"/>
      <c r="AA11" s="305"/>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row>
    <row r="12" spans="1:53" ht="8.25" customHeight="1">
      <c r="A12" s="301"/>
      <c r="B12" s="305"/>
      <c r="C12" s="305"/>
      <c r="D12" s="305"/>
      <c r="E12" s="305"/>
      <c r="F12" s="305"/>
      <c r="G12" s="305"/>
      <c r="H12" s="303" t="s">
        <v>92</v>
      </c>
      <c r="I12" s="303">
        <v>40</v>
      </c>
      <c r="J12" s="303"/>
      <c r="K12" s="303"/>
      <c r="L12" s="305"/>
      <c r="M12" s="305"/>
      <c r="N12" s="301"/>
      <c r="O12" s="305"/>
      <c r="P12" s="305"/>
      <c r="Q12" s="305"/>
      <c r="R12" s="305"/>
      <c r="S12" s="305"/>
      <c r="T12" s="305"/>
      <c r="U12" s="303" t="s">
        <v>92</v>
      </c>
      <c r="V12" s="303">
        <v>40</v>
      </c>
      <c r="W12" s="303"/>
      <c r="X12" s="303"/>
      <c r="Y12" s="305"/>
      <c r="Z12" s="305"/>
      <c r="AA12" s="305"/>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row>
    <row r="13" spans="1:53" ht="47.25" customHeight="1">
      <c r="A13" s="301"/>
      <c r="B13" s="305"/>
      <c r="C13" s="625" t="s">
        <v>93</v>
      </c>
      <c r="D13" s="625"/>
      <c r="E13" s="625"/>
      <c r="F13" s="625"/>
      <c r="G13" s="305"/>
      <c r="H13" s="303" t="s">
        <v>91</v>
      </c>
      <c r="I13" s="303">
        <v>100</v>
      </c>
      <c r="J13" s="303"/>
      <c r="K13" s="303"/>
      <c r="L13" s="305"/>
      <c r="M13" s="305"/>
      <c r="N13" s="301"/>
      <c r="O13" s="305"/>
      <c r="P13" s="625" t="s">
        <v>93</v>
      </c>
      <c r="Q13" s="625"/>
      <c r="R13" s="625"/>
      <c r="S13" s="625"/>
      <c r="T13" s="305"/>
      <c r="U13" s="303" t="s">
        <v>91</v>
      </c>
      <c r="V13" s="303">
        <v>100</v>
      </c>
      <c r="W13" s="303"/>
      <c r="X13" s="303"/>
      <c r="Y13" s="305"/>
      <c r="Z13" s="305"/>
      <c r="AA13" s="305"/>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row>
    <row r="14" spans="1:53" ht="64.5" customHeight="1">
      <c r="A14" s="301"/>
      <c r="B14" s="305"/>
      <c r="C14" s="331"/>
      <c r="D14" s="332"/>
      <c r="E14" s="667"/>
      <c r="F14" s="667"/>
      <c r="G14" s="305"/>
      <c r="H14" s="305"/>
      <c r="I14" s="305"/>
      <c r="J14" s="305"/>
      <c r="K14" s="305"/>
      <c r="L14" s="305"/>
      <c r="M14" s="305"/>
      <c r="N14" s="301"/>
      <c r="O14" s="305"/>
      <c r="P14" s="331"/>
      <c r="Q14" s="332"/>
      <c r="R14" s="667"/>
      <c r="S14" s="667"/>
      <c r="T14" s="305"/>
      <c r="U14" s="305"/>
      <c r="V14" s="305"/>
      <c r="W14" s="305"/>
      <c r="X14" s="305"/>
      <c r="Y14" s="305"/>
      <c r="Z14" s="305"/>
      <c r="AA14" s="305"/>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row>
    <row r="15" spans="1:53" ht="20.25" thickBot="1">
      <c r="A15" s="301"/>
      <c r="B15" s="305"/>
      <c r="C15" s="333" t="s">
        <v>94</v>
      </c>
      <c r="D15" s="325" t="s">
        <v>95</v>
      </c>
      <c r="E15" s="325" t="s">
        <v>96</v>
      </c>
      <c r="F15" s="305"/>
      <c r="G15" s="621" t="s">
        <v>97</v>
      </c>
      <c r="H15" s="622"/>
      <c r="I15" s="305"/>
      <c r="J15" s="305"/>
      <c r="K15" s="305"/>
      <c r="L15" s="305"/>
      <c r="M15" s="305"/>
      <c r="N15" s="301"/>
      <c r="O15" s="305"/>
      <c r="P15" s="333" t="s">
        <v>94</v>
      </c>
      <c r="Q15" s="325" t="s">
        <v>95</v>
      </c>
      <c r="R15" s="325" t="s">
        <v>96</v>
      </c>
      <c r="S15" s="305"/>
      <c r="T15" s="621" t="s">
        <v>97</v>
      </c>
      <c r="U15" s="622"/>
      <c r="V15" s="305"/>
      <c r="W15" s="305"/>
      <c r="X15" s="305"/>
      <c r="Y15" s="305"/>
      <c r="Z15" s="305"/>
      <c r="AA15" s="305"/>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row>
    <row r="16" spans="1:53" ht="48" thickTop="1" thickBot="1">
      <c r="A16" s="301"/>
      <c r="B16" s="305"/>
      <c r="C16" s="334" t="s">
        <v>98</v>
      </c>
      <c r="D16" s="477">
        <f>E16*'PROD.NORMER TABELL'!H16/'PROD.NORMER TABELL'!I16</f>
        <v>2600.0000000000005</v>
      </c>
      <c r="E16" s="472">
        <v>2000</v>
      </c>
      <c r="F16" s="336"/>
      <c r="G16" s="623">
        <f>E16/K9</f>
        <v>179.13195060964284</v>
      </c>
      <c r="H16" s="624"/>
      <c r="I16" s="305"/>
      <c r="J16" s="305"/>
      <c r="K16" s="305"/>
      <c r="L16" s="305"/>
      <c r="M16" s="305"/>
      <c r="N16" s="301"/>
      <c r="O16" s="305"/>
      <c r="P16" s="334" t="s">
        <v>98</v>
      </c>
      <c r="Q16" s="477">
        <f>R16*'PROD.NORMER TABELL'!H29/'PROD.NORMER TABELL'!I29</f>
        <v>2249.9999999999995</v>
      </c>
      <c r="R16" s="472">
        <v>1800</v>
      </c>
      <c r="S16" s="336"/>
      <c r="T16" s="623">
        <f>R16/X9</f>
        <v>151.80139262129561</v>
      </c>
      <c r="U16" s="624"/>
      <c r="V16" s="305"/>
      <c r="W16" s="305"/>
      <c r="X16" s="305"/>
      <c r="Y16" s="305"/>
      <c r="Z16" s="305"/>
      <c r="AA16" s="305"/>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row>
    <row r="17" spans="1:53" ht="20.25" thickTop="1">
      <c r="A17" s="301"/>
      <c r="B17" s="305"/>
      <c r="C17" s="305"/>
      <c r="D17" s="305"/>
      <c r="E17" s="305"/>
      <c r="F17" s="305"/>
      <c r="G17" s="337"/>
      <c r="H17" s="305"/>
      <c r="I17" s="305"/>
      <c r="J17" s="305"/>
      <c r="K17" s="305"/>
      <c r="L17" s="305"/>
      <c r="M17" s="305"/>
      <c r="N17" s="301"/>
      <c r="O17" s="305"/>
      <c r="P17" s="305"/>
      <c r="Q17" s="305"/>
      <c r="R17" s="305"/>
      <c r="S17" s="305"/>
      <c r="T17" s="337"/>
      <c r="U17" s="338"/>
      <c r="V17" s="305"/>
      <c r="W17" s="305"/>
      <c r="X17" s="305"/>
      <c r="Y17" s="305"/>
      <c r="Z17" s="305"/>
      <c r="AA17" s="305"/>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row>
    <row r="18" spans="1:53" ht="22.5">
      <c r="A18" s="301"/>
      <c r="B18" s="305"/>
      <c r="C18" s="339" t="s">
        <v>99</v>
      </c>
      <c r="D18" s="340"/>
      <c r="E18" s="341"/>
      <c r="F18" s="305"/>
      <c r="G18" s="342"/>
      <c r="H18" s="342"/>
      <c r="I18" s="342"/>
      <c r="J18" s="305"/>
      <c r="K18" s="305"/>
      <c r="L18" s="305"/>
      <c r="M18" s="305"/>
      <c r="N18" s="301"/>
      <c r="O18" s="305"/>
      <c r="P18" s="339" t="s">
        <v>99</v>
      </c>
      <c r="Q18" s="340"/>
      <c r="R18" s="341"/>
      <c r="S18" s="305"/>
      <c r="T18" s="342"/>
      <c r="U18" s="342"/>
      <c r="V18" s="342"/>
      <c r="W18" s="305"/>
      <c r="X18" s="305"/>
      <c r="Y18" s="305"/>
      <c r="Z18" s="305"/>
      <c r="AA18" s="305"/>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row>
    <row r="19" spans="1:53" ht="19.5">
      <c r="A19" s="301"/>
      <c r="B19" s="305"/>
      <c r="C19" s="305"/>
      <c r="D19" s="305"/>
      <c r="E19" s="305"/>
      <c r="F19" s="305"/>
      <c r="G19" s="305"/>
      <c r="H19" s="305"/>
      <c r="I19" s="305"/>
      <c r="J19" s="305"/>
      <c r="K19" s="305"/>
      <c r="L19" s="305"/>
      <c r="M19" s="305"/>
      <c r="N19" s="301"/>
      <c r="O19" s="305"/>
      <c r="P19" s="305"/>
      <c r="Q19" s="305"/>
      <c r="R19" s="305"/>
      <c r="S19" s="305"/>
      <c r="T19" s="305"/>
      <c r="U19" s="305"/>
      <c r="V19" s="305"/>
      <c r="W19" s="305"/>
      <c r="X19" s="305"/>
      <c r="Y19" s="305"/>
      <c r="Z19" s="305"/>
      <c r="AA19" s="305"/>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row>
    <row r="20" spans="1:53" ht="12.75" customHeight="1">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row>
    <row r="21" spans="1:53" ht="19.5" hidden="1">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row>
    <row r="22" spans="1:53" ht="18" hidden="1"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row>
    <row r="23" spans="1:53" ht="18" hidden="1"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row>
    <row r="24" spans="1:53" ht="18" hidden="1"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row>
    <row r="25" spans="1:53" ht="19.5" hidden="1">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row>
    <row r="26" spans="1:53" ht="19.5" hidden="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row>
    <row r="27" spans="1:53" ht="19.5" hidden="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row>
    <row r="28" spans="1:53" ht="18" hidden="1"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row>
    <row r="29" spans="1:53" ht="18" hidden="1"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row>
    <row r="30" spans="1:53" ht="18" hidden="1"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row>
    <row r="31" spans="1:53" ht="18" hidden="1"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row>
    <row r="32" spans="1:53" ht="18" hidden="1"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row>
    <row r="33" spans="1:53" ht="18" hidden="1"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row>
    <row r="34" spans="1:53" ht="18" hidden="1"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row>
    <row r="35" spans="1:53" ht="18" hidden="1" customHeight="1">
      <c r="A35" s="301"/>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row>
    <row r="36" spans="1:53" ht="18" hidden="1" customHeight="1">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row>
    <row r="37" spans="1:53" ht="19.5" hidden="1">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row>
    <row r="38" spans="1:53" ht="19.5" hidden="1">
      <c r="A38" s="301"/>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row>
    <row r="39" spans="1:53" ht="19.5" hidden="1">
      <c r="A39" s="301"/>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row>
    <row r="40" spans="1:53" ht="19.5" hidden="1">
      <c r="A40" s="301"/>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row>
    <row r="41" spans="1:53" ht="19.5" hidden="1">
      <c r="A41" s="301"/>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row>
    <row r="42" spans="1:53" ht="19.5" hidden="1">
      <c r="A42" s="301"/>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row>
    <row r="43" spans="1:53" ht="19.5" hidden="1">
      <c r="A43" s="301"/>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row>
    <row r="44" spans="1:53" ht="19.5" hidden="1">
      <c r="A44" s="30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row>
    <row r="45" spans="1:53" ht="19.5" hidden="1">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row>
    <row r="46" spans="1:53" ht="19.5" hidden="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row>
    <row r="47" spans="1:53" ht="19.5" hidden="1">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row>
    <row r="48" spans="1:53" ht="19.5" hidden="1">
      <c r="A48" s="301"/>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row>
    <row r="49" spans="1:53" ht="19.5" hidden="1">
      <c r="A49" s="301"/>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row>
    <row r="50" spans="1:53" ht="19.5" hidden="1">
      <c r="A50" s="301"/>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row>
    <row r="51" spans="1:53" ht="19.5" hidden="1">
      <c r="A51" s="301"/>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row>
    <row r="52" spans="1:53" ht="19.5" hidden="1">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row>
    <row r="53" spans="1:53" ht="19.5" hidden="1">
      <c r="A53" s="301"/>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row>
    <row r="54" spans="1:53" ht="19.5" hidden="1">
      <c r="A54" s="301"/>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row>
    <row r="55" spans="1:53" ht="19.5" hidden="1">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row>
    <row r="56" spans="1:53" ht="19.5" hidden="1">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row>
    <row r="57" spans="1:53" ht="19.5" hidden="1">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row>
    <row r="58" spans="1:53" ht="19.5" hidden="1">
      <c r="A58" s="301"/>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row>
    <row r="59" spans="1:53" ht="19.5" hidden="1">
      <c r="A59" s="301"/>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row>
    <row r="60" spans="1:53" ht="19.5" hidden="1">
      <c r="A60" s="301"/>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row>
    <row r="61" spans="1:53" ht="19.5" hidden="1">
      <c r="A61" s="301"/>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row>
    <row r="62" spans="1:53" ht="19.5" hidden="1">
      <c r="A62" s="301"/>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row>
    <row r="63" spans="1:53" ht="19.5" hidden="1">
      <c r="A63" s="301"/>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row>
    <row r="64" spans="1:53" ht="19.5" hidden="1">
      <c r="A64" s="301"/>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row>
    <row r="65" spans="1:53" ht="19.5" hidden="1">
      <c r="A65" s="301"/>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row>
    <row r="66" spans="1:53" ht="19.5" hidden="1">
      <c r="A66" s="301"/>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row>
    <row r="67" spans="1:53" ht="19.5" hidden="1">
      <c r="A67" s="301"/>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301"/>
      <c r="BA67" s="301"/>
    </row>
    <row r="68" spans="1:53" ht="19.5" hidden="1">
      <c r="A68" s="301"/>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row>
    <row r="69" spans="1:53" ht="19.5" hidden="1">
      <c r="A69" s="301"/>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row>
    <row r="70" spans="1:53" ht="19.5" hidden="1">
      <c r="A70" s="301"/>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row>
    <row r="71" spans="1:53" ht="19.5" hidden="1">
      <c r="A71" s="301"/>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301"/>
      <c r="BA71" s="301"/>
    </row>
    <row r="72" spans="1:53" ht="19.5" hidden="1">
      <c r="A72" s="301"/>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1"/>
      <c r="AZ72" s="301"/>
      <c r="BA72" s="301"/>
    </row>
    <row r="73" spans="1:53" ht="19.5" hidden="1">
      <c r="A73" s="301"/>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1"/>
    </row>
    <row r="74" spans="1:53" ht="19.5" hidden="1">
      <c r="A74" s="301"/>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row>
    <row r="75" spans="1:53" ht="19.5" hidden="1">
      <c r="A75" s="301"/>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row>
    <row r="76" spans="1:53" ht="19.5" hidden="1">
      <c r="A76" s="301"/>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301"/>
      <c r="AW76" s="301"/>
      <c r="AX76" s="301"/>
      <c r="AY76" s="301"/>
      <c r="AZ76" s="301"/>
      <c r="BA76" s="301"/>
    </row>
    <row r="77" spans="1:53" ht="19.5" hidden="1">
      <c r="A77" s="301"/>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c r="BA77" s="301"/>
    </row>
    <row r="78" spans="1:53" ht="19.5" hidden="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row>
  </sheetData>
  <sheetProtection algorithmName="SHA-512" hashValue="SJ+0aArI3egonbVnbO9kVcCVRs5JQcTCeUd7EVSFmJL4NJIodFlWHnXGJFequz6i79HSVpASf/mxnHyBoUGrzg==" saltValue="sk/ZX4CtOGYQB577w+93EQ==" spinCount="100000" sheet="1" objects="1" scenarios="1" selectLockedCells="1"/>
  <mergeCells count="12">
    <mergeCell ref="Q10:R10"/>
    <mergeCell ref="Q11:R11"/>
    <mergeCell ref="R14:S14"/>
    <mergeCell ref="T15:U15"/>
    <mergeCell ref="T16:U16"/>
    <mergeCell ref="P13:S13"/>
    <mergeCell ref="D11:E11"/>
    <mergeCell ref="D10:E10"/>
    <mergeCell ref="G15:H15"/>
    <mergeCell ref="G16:H16"/>
    <mergeCell ref="E14:F14"/>
    <mergeCell ref="C13:F13"/>
  </mergeCells>
  <pageMargins left="0.23622047244094491" right="0.23622047244094491" top="0.74803149606299213" bottom="0.74803149606299213" header="0.31496062992125984" footer="0.31496062992125984"/>
  <pageSetup paperSize="9" scale="53" orientation="landscape"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78"/>
  <sheetViews>
    <sheetView workbookViewId="0">
      <selection activeCell="E24" sqref="E24"/>
    </sheetView>
  </sheetViews>
  <sheetFormatPr defaultColWidth="9" defaultRowHeight="15"/>
  <cols>
    <col min="1" max="2" width="2.140625" style="81" customWidth="1"/>
    <col min="3" max="3" width="24.140625" style="81" customWidth="1"/>
    <col min="4" max="4" width="14.42578125" style="81" customWidth="1"/>
    <col min="5" max="5" width="15.42578125" style="81" customWidth="1"/>
    <col min="6" max="6" width="11.85546875" style="81" customWidth="1"/>
    <col min="7" max="7" width="9.5703125" style="81" customWidth="1"/>
    <col min="8" max="8" width="18.7109375" style="81" customWidth="1"/>
    <col min="9" max="9" width="2.7109375" style="81" customWidth="1"/>
    <col min="10" max="11" width="6.85546875" style="81" customWidth="1"/>
    <col min="12" max="12" width="10.28515625" style="81" customWidth="1"/>
    <col min="13" max="13" width="7.28515625" style="81" customWidth="1"/>
    <col min="14" max="15" width="2.140625" style="81" customWidth="1"/>
    <col min="16" max="16" width="24.140625" style="81" customWidth="1"/>
    <col min="17" max="17" width="15" style="81" customWidth="1"/>
    <col min="18" max="18" width="13" style="81" customWidth="1"/>
    <col min="19" max="19" width="11.85546875" style="81" customWidth="1"/>
    <col min="20" max="21" width="14.42578125" style="81" customWidth="1"/>
    <col min="22" max="22" width="6.7109375" style="81" customWidth="1"/>
    <col min="23" max="24" width="6.85546875" style="81" customWidth="1"/>
    <col min="25" max="25" width="9" style="81"/>
    <col min="26" max="26" width="6.28515625" style="81" customWidth="1"/>
    <col min="27" max="27" width="1.85546875" style="81" customWidth="1"/>
    <col min="28" max="16384" width="9" style="81"/>
  </cols>
  <sheetData>
    <row r="1" spans="1:53" s="301" customFormat="1" ht="13.7" customHeight="1"/>
    <row r="2" spans="1:53" s="301" customFormat="1" ht="13.7" customHeight="1"/>
    <row r="3" spans="1:53" s="301" customFormat="1" ht="13.7" customHeight="1"/>
    <row r="4" spans="1:53" ht="19.5">
      <c r="A4" s="301"/>
      <c r="B4" s="305"/>
      <c r="C4" s="305"/>
      <c r="D4" s="305"/>
      <c r="E4" s="305"/>
      <c r="F4" s="305"/>
      <c r="G4" s="305"/>
      <c r="H4" s="305"/>
      <c r="I4" s="305"/>
      <c r="J4" s="305"/>
      <c r="K4" s="305"/>
      <c r="L4" s="305"/>
      <c r="M4" s="305"/>
      <c r="N4" s="301"/>
      <c r="O4" s="305"/>
      <c r="P4" s="305"/>
      <c r="Q4" s="305"/>
      <c r="R4" s="305"/>
      <c r="S4" s="305"/>
      <c r="T4" s="305"/>
      <c r="U4" s="305"/>
      <c r="V4" s="305"/>
      <c r="W4" s="305"/>
      <c r="X4" s="305"/>
      <c r="Y4" s="305"/>
      <c r="Z4" s="305"/>
      <c r="AA4" s="305"/>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row>
    <row r="5" spans="1:53" ht="36.75" thickBot="1">
      <c r="A5" s="301"/>
      <c r="B5" s="305"/>
      <c r="C5" s="319" t="s">
        <v>100</v>
      </c>
      <c r="D5" s="319"/>
      <c r="E5" s="320"/>
      <c r="F5" s="320"/>
      <c r="G5" s="321"/>
      <c r="H5" s="320"/>
      <c r="I5" s="320"/>
      <c r="J5" s="320"/>
      <c r="K5" s="322"/>
      <c r="L5" s="322"/>
      <c r="M5" s="320"/>
      <c r="N5" s="301"/>
      <c r="O5" s="305"/>
      <c r="P5" s="319" t="s">
        <v>101</v>
      </c>
      <c r="Q5" s="319"/>
      <c r="R5" s="320"/>
      <c r="S5" s="320"/>
      <c r="T5" s="321"/>
      <c r="U5" s="320"/>
      <c r="V5" s="320"/>
      <c r="W5" s="320"/>
      <c r="X5" s="322"/>
      <c r="Y5" s="320"/>
      <c r="Z5" s="320"/>
      <c r="AA5" s="305"/>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row>
    <row r="6" spans="1:53" ht="50.25" customHeight="1" thickTop="1">
      <c r="A6" s="301"/>
      <c r="B6" s="305"/>
      <c r="C6" s="323" t="s">
        <v>76</v>
      </c>
      <c r="D6" s="305"/>
      <c r="E6" s="305"/>
      <c r="F6" s="305"/>
      <c r="G6" s="305"/>
      <c r="H6" s="305"/>
      <c r="I6" s="305"/>
      <c r="J6" s="305"/>
      <c r="K6" s="324"/>
      <c r="L6" s="324"/>
      <c r="M6" s="305"/>
      <c r="N6" s="301"/>
      <c r="O6" s="305"/>
      <c r="P6" s="323" t="s">
        <v>76</v>
      </c>
      <c r="Q6" s="305"/>
      <c r="R6" s="305"/>
      <c r="S6" s="305"/>
      <c r="T6" s="305"/>
      <c r="U6" s="305"/>
      <c r="V6" s="305"/>
      <c r="W6" s="305"/>
      <c r="X6" s="324"/>
      <c r="Y6" s="305"/>
      <c r="Z6" s="305"/>
      <c r="AA6" s="305"/>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row>
    <row r="7" spans="1:53" ht="36" customHeight="1" thickBot="1">
      <c r="A7" s="301"/>
      <c r="B7" s="305"/>
      <c r="C7" s="325" t="s">
        <v>77</v>
      </c>
      <c r="D7" s="325" t="s">
        <v>78</v>
      </c>
      <c r="E7" s="325" t="s">
        <v>79</v>
      </c>
      <c r="F7" s="325" t="s">
        <v>80</v>
      </c>
      <c r="G7" s="305"/>
      <c r="H7" s="305"/>
      <c r="I7" s="305"/>
      <c r="J7" s="305"/>
      <c r="K7" s="326"/>
      <c r="L7" s="326"/>
      <c r="M7" s="305"/>
      <c r="N7" s="301"/>
      <c r="O7" s="305"/>
      <c r="P7" s="325" t="s">
        <v>77</v>
      </c>
      <c r="Q7" s="325" t="s">
        <v>78</v>
      </c>
      <c r="R7" s="325" t="s">
        <v>79</v>
      </c>
      <c r="S7" s="325" t="s">
        <v>80</v>
      </c>
      <c r="T7" s="305"/>
      <c r="U7" s="305"/>
      <c r="V7" s="305"/>
      <c r="W7" s="305"/>
      <c r="X7" s="326"/>
      <c r="Y7" s="305"/>
      <c r="Z7" s="305"/>
      <c r="AA7" s="305"/>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row>
    <row r="8" spans="1:53" ht="30.75" customHeight="1" thickTop="1" thickBot="1">
      <c r="A8" s="301"/>
      <c r="B8" s="305"/>
      <c r="C8" s="457">
        <v>43018</v>
      </c>
      <c r="D8" s="458">
        <f>'FS 2'!E25</f>
        <v>271.72009199999997</v>
      </c>
      <c r="E8" s="460">
        <v>9</v>
      </c>
      <c r="F8" s="459">
        <v>1</v>
      </c>
      <c r="G8" s="305"/>
      <c r="H8" s="305" t="s">
        <v>81</v>
      </c>
      <c r="I8" s="305"/>
      <c r="J8" s="305" t="s">
        <v>82</v>
      </c>
      <c r="K8" s="305"/>
      <c r="L8" s="305"/>
      <c r="M8" s="305"/>
      <c r="N8" s="301"/>
      <c r="O8" s="305"/>
      <c r="P8" s="457">
        <v>43025</v>
      </c>
      <c r="Q8" s="458">
        <f>D8</f>
        <v>271.72009199999997</v>
      </c>
      <c r="R8" s="462">
        <v>8</v>
      </c>
      <c r="S8" s="458">
        <v>1.5</v>
      </c>
      <c r="T8" s="305"/>
      <c r="U8" s="305" t="s">
        <v>81</v>
      </c>
      <c r="V8" s="305"/>
      <c r="W8" s="305" t="s">
        <v>82</v>
      </c>
      <c r="X8" s="305"/>
      <c r="Y8" s="305"/>
      <c r="Z8" s="305"/>
      <c r="AA8" s="305"/>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row>
    <row r="9" spans="1:53" ht="21.75" customHeight="1" thickTop="1">
      <c r="A9" s="301"/>
      <c r="B9" s="305"/>
      <c r="C9" s="305"/>
      <c r="D9" s="305"/>
      <c r="E9" s="305"/>
      <c r="F9" s="305"/>
      <c r="G9" s="305"/>
      <c r="H9" s="303" t="s">
        <v>83</v>
      </c>
      <c r="I9" s="303">
        <v>0</v>
      </c>
      <c r="J9" s="303" t="s">
        <v>84</v>
      </c>
      <c r="K9" s="465">
        <f>'PN 2'!I16</f>
        <v>11.917684986906945</v>
      </c>
      <c r="L9" s="305"/>
      <c r="M9" s="305"/>
      <c r="N9" s="301"/>
      <c r="O9" s="305"/>
      <c r="P9" s="305"/>
      <c r="Q9" s="305"/>
      <c r="R9" s="461"/>
      <c r="S9" s="305"/>
      <c r="T9" s="305"/>
      <c r="U9" s="303" t="s">
        <v>83</v>
      </c>
      <c r="V9" s="303">
        <v>0</v>
      </c>
      <c r="W9" s="303" t="s">
        <v>84</v>
      </c>
      <c r="X9" s="465">
        <f>'PN 2'!I29</f>
        <v>11.832369107699471</v>
      </c>
      <c r="Y9" s="305"/>
      <c r="Z9" s="305"/>
      <c r="AA9" s="305"/>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row>
    <row r="10" spans="1:53" ht="26.25" customHeight="1">
      <c r="A10" s="301"/>
      <c r="B10" s="305"/>
      <c r="C10" s="328" t="s">
        <v>85</v>
      </c>
      <c r="D10" s="621" t="s">
        <v>86</v>
      </c>
      <c r="E10" s="622"/>
      <c r="F10" s="343" t="s">
        <v>87</v>
      </c>
      <c r="G10" s="305"/>
      <c r="H10" s="303" t="s">
        <v>88</v>
      </c>
      <c r="I10" s="303">
        <v>30</v>
      </c>
      <c r="J10" s="303" t="s">
        <v>89</v>
      </c>
      <c r="K10" s="303">
        <v>1</v>
      </c>
      <c r="L10" s="305"/>
      <c r="M10" s="305"/>
      <c r="N10" s="301"/>
      <c r="O10" s="305"/>
      <c r="P10" s="328" t="s">
        <v>85</v>
      </c>
      <c r="Q10" s="621" t="s">
        <v>86</v>
      </c>
      <c r="R10" s="622"/>
      <c r="S10" s="343" t="s">
        <v>87</v>
      </c>
      <c r="T10" s="305"/>
      <c r="U10" s="303" t="s">
        <v>88</v>
      </c>
      <c r="V10" s="303">
        <v>30</v>
      </c>
      <c r="W10" s="303" t="s">
        <v>89</v>
      </c>
      <c r="X10" s="303">
        <v>1</v>
      </c>
      <c r="Y10" s="305"/>
      <c r="Z10" s="305"/>
      <c r="AA10" s="305"/>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row>
    <row r="11" spans="1:53" ht="61.5">
      <c r="A11" s="301"/>
      <c r="B11" s="305"/>
      <c r="C11" s="329">
        <f>StartDato+(D8/'PROD.NORMER TABELL'!I16)/(E8*F8)</f>
        <v>43020.704097227768</v>
      </c>
      <c r="D11" s="619">
        <f>(D8/'PROD.NORMER TABELL'!I16)/(E8*F8)</f>
        <v>2.7040972277662001</v>
      </c>
      <c r="E11" s="620"/>
      <c r="F11" s="330">
        <f>(D8/'PN 2'!I16)/E8</f>
        <v>2.5333041917538535</v>
      </c>
      <c r="G11" s="305"/>
      <c r="H11" s="303" t="s">
        <v>90</v>
      </c>
      <c r="I11" s="303">
        <v>30</v>
      </c>
      <c r="J11" s="303" t="s">
        <v>91</v>
      </c>
      <c r="K11" s="303">
        <f>100-(K9+K10)</f>
        <v>87.082315013093051</v>
      </c>
      <c r="L11" s="305"/>
      <c r="M11" s="305"/>
      <c r="N11" s="301"/>
      <c r="O11" s="305"/>
      <c r="P11" s="329">
        <f>P8+(Q8/'PROD.NORMER TABELL'!I29)/(R8*S8)</f>
        <v>43026.909605943001</v>
      </c>
      <c r="Q11" s="626">
        <f>(Q8/'PN 2'!I29)/(R8*S8)</f>
        <v>1.9136777084874483</v>
      </c>
      <c r="R11" s="620"/>
      <c r="S11" s="330">
        <f>(Q8/'PN 2'!I29)/R8</f>
        <v>2.8705165627311726</v>
      </c>
      <c r="T11" s="305"/>
      <c r="U11" s="303" t="s">
        <v>90</v>
      </c>
      <c r="V11" s="303">
        <v>30</v>
      </c>
      <c r="W11" s="303" t="s">
        <v>91</v>
      </c>
      <c r="X11" s="303">
        <f>100-(X9+X10)</f>
        <v>87.167630892300537</v>
      </c>
      <c r="Y11" s="305"/>
      <c r="Z11" s="305"/>
      <c r="AA11" s="305"/>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row>
    <row r="12" spans="1:53" ht="8.25" customHeight="1">
      <c r="A12" s="301"/>
      <c r="B12" s="305"/>
      <c r="C12" s="305"/>
      <c r="D12" s="305"/>
      <c r="E12" s="305"/>
      <c r="F12" s="305"/>
      <c r="G12" s="305"/>
      <c r="H12" s="303" t="s">
        <v>92</v>
      </c>
      <c r="I12" s="303">
        <v>40</v>
      </c>
      <c r="J12" s="303"/>
      <c r="K12" s="303"/>
      <c r="L12" s="305"/>
      <c r="M12" s="305"/>
      <c r="N12" s="301"/>
      <c r="O12" s="305"/>
      <c r="P12" s="305"/>
      <c r="Q12" s="305"/>
      <c r="R12" s="305"/>
      <c r="S12" s="305"/>
      <c r="T12" s="305"/>
      <c r="U12" s="303" t="s">
        <v>92</v>
      </c>
      <c r="V12" s="303">
        <v>40</v>
      </c>
      <c r="W12" s="303"/>
      <c r="X12" s="303"/>
      <c r="Y12" s="305"/>
      <c r="Z12" s="305"/>
      <c r="AA12" s="305"/>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row>
    <row r="13" spans="1:53" ht="47.25" customHeight="1">
      <c r="A13" s="301"/>
      <c r="B13" s="305"/>
      <c r="C13" s="625" t="s">
        <v>93</v>
      </c>
      <c r="D13" s="625"/>
      <c r="E13" s="625"/>
      <c r="F13" s="625"/>
      <c r="G13" s="305"/>
      <c r="H13" s="303" t="s">
        <v>91</v>
      </c>
      <c r="I13" s="303">
        <v>100</v>
      </c>
      <c r="J13" s="303"/>
      <c r="K13" s="303"/>
      <c r="L13" s="305"/>
      <c r="M13" s="305"/>
      <c r="N13" s="301"/>
      <c r="O13" s="305"/>
      <c r="P13" s="625" t="s">
        <v>93</v>
      </c>
      <c r="Q13" s="625"/>
      <c r="R13" s="625"/>
      <c r="S13" s="625"/>
      <c r="T13" s="305"/>
      <c r="U13" s="303" t="s">
        <v>91</v>
      </c>
      <c r="V13" s="303">
        <v>100</v>
      </c>
      <c r="W13" s="303"/>
      <c r="X13" s="303"/>
      <c r="Y13" s="305"/>
      <c r="Z13" s="305"/>
      <c r="AA13" s="305"/>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row>
    <row r="14" spans="1:53" ht="64.5" customHeight="1">
      <c r="A14" s="301"/>
      <c r="B14" s="305"/>
      <c r="C14" s="331"/>
      <c r="D14" s="332"/>
      <c r="E14" s="667"/>
      <c r="F14" s="667"/>
      <c r="G14" s="305"/>
      <c r="H14" s="305"/>
      <c r="I14" s="305"/>
      <c r="J14" s="305"/>
      <c r="K14" s="305"/>
      <c r="L14" s="305"/>
      <c r="M14" s="305"/>
      <c r="N14" s="301"/>
      <c r="O14" s="305"/>
      <c r="P14" s="331"/>
      <c r="Q14" s="332"/>
      <c r="R14" s="667"/>
      <c r="S14" s="667"/>
      <c r="T14" s="305"/>
      <c r="U14" s="305"/>
      <c r="V14" s="305"/>
      <c r="W14" s="305"/>
      <c r="X14" s="305"/>
      <c r="Y14" s="305"/>
      <c r="Z14" s="305"/>
      <c r="AA14" s="305"/>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row>
    <row r="15" spans="1:53" ht="20.25" thickBot="1">
      <c r="A15" s="301"/>
      <c r="B15" s="305"/>
      <c r="C15" s="333" t="s">
        <v>94</v>
      </c>
      <c r="D15" s="325" t="s">
        <v>95</v>
      </c>
      <c r="E15" s="325" t="s">
        <v>96</v>
      </c>
      <c r="F15" s="305"/>
      <c r="G15" s="621" t="s">
        <v>97</v>
      </c>
      <c r="H15" s="622"/>
      <c r="I15" s="305"/>
      <c r="J15" s="305"/>
      <c r="K15" s="305"/>
      <c r="L15" s="305"/>
      <c r="M15" s="305"/>
      <c r="N15" s="301"/>
      <c r="O15" s="305"/>
      <c r="P15" s="333" t="s">
        <v>94</v>
      </c>
      <c r="Q15" s="325" t="s">
        <v>95</v>
      </c>
      <c r="R15" s="325" t="s">
        <v>96</v>
      </c>
      <c r="S15" s="305"/>
      <c r="T15" s="621" t="s">
        <v>97</v>
      </c>
      <c r="U15" s="622"/>
      <c r="V15" s="305"/>
      <c r="W15" s="305"/>
      <c r="X15" s="305"/>
      <c r="Y15" s="305"/>
      <c r="Z15" s="305"/>
      <c r="AA15" s="305"/>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row>
    <row r="16" spans="1:53" ht="48" thickTop="1" thickBot="1">
      <c r="A16" s="301"/>
      <c r="B16" s="305"/>
      <c r="C16" s="334" t="s">
        <v>98</v>
      </c>
      <c r="D16" s="335">
        <f>E16*'PROD.NORMER TABELL'!H16/'PROD.NORMER TABELL'!I16</f>
        <v>2600.0000000000005</v>
      </c>
      <c r="E16" s="463">
        <f>MASKINPRODUKTIVITET!E16</f>
        <v>2000</v>
      </c>
      <c r="F16" s="336"/>
      <c r="G16" s="623">
        <f>E16/K9</f>
        <v>167.81782722040799</v>
      </c>
      <c r="H16" s="624"/>
      <c r="I16" s="305"/>
      <c r="J16" s="305"/>
      <c r="K16" s="305"/>
      <c r="L16" s="305"/>
      <c r="M16" s="305"/>
      <c r="N16" s="301"/>
      <c r="O16" s="305"/>
      <c r="P16" s="334" t="s">
        <v>98</v>
      </c>
      <c r="Q16" s="344">
        <f>R16*'PROD.NORMER TABELL'!H29/'PROD.NORMER TABELL'!I29</f>
        <v>2249.9999999999995</v>
      </c>
      <c r="R16" s="463">
        <f>MASKINPRODUKTIVITET!R16</f>
        <v>1800</v>
      </c>
      <c r="S16" s="336"/>
      <c r="T16" s="623">
        <f>R16/X9</f>
        <v>152.12507179384031</v>
      </c>
      <c r="U16" s="624"/>
      <c r="V16" s="305"/>
      <c r="W16" s="305"/>
      <c r="X16" s="305"/>
      <c r="Y16" s="305"/>
      <c r="Z16" s="305"/>
      <c r="AA16" s="305"/>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row>
    <row r="17" spans="1:53" ht="20.25" thickTop="1">
      <c r="A17" s="301"/>
      <c r="B17" s="305"/>
      <c r="C17" s="305"/>
      <c r="D17" s="305"/>
      <c r="E17" s="305"/>
      <c r="F17" s="305"/>
      <c r="G17" s="337"/>
      <c r="H17" s="305"/>
      <c r="I17" s="305"/>
      <c r="J17" s="305"/>
      <c r="K17" s="305"/>
      <c r="L17" s="305"/>
      <c r="M17" s="305"/>
      <c r="N17" s="301"/>
      <c r="O17" s="305"/>
      <c r="P17" s="305"/>
      <c r="Q17" s="305"/>
      <c r="R17" s="305"/>
      <c r="S17" s="305"/>
      <c r="T17" s="337"/>
      <c r="U17" s="338"/>
      <c r="V17" s="305"/>
      <c r="W17" s="305"/>
      <c r="X17" s="305"/>
      <c r="Y17" s="305"/>
      <c r="Z17" s="305"/>
      <c r="AA17" s="305"/>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row>
    <row r="18" spans="1:53" ht="22.5">
      <c r="A18" s="301"/>
      <c r="B18" s="305"/>
      <c r="C18" s="339" t="s">
        <v>99</v>
      </c>
      <c r="D18" s="340"/>
      <c r="E18" s="341"/>
      <c r="F18" s="305"/>
      <c r="G18" s="342"/>
      <c r="H18" s="342"/>
      <c r="I18" s="342"/>
      <c r="J18" s="305"/>
      <c r="K18" s="305"/>
      <c r="L18" s="305"/>
      <c r="M18" s="305"/>
      <c r="N18" s="301"/>
      <c r="O18" s="305"/>
      <c r="P18" s="339" t="s">
        <v>99</v>
      </c>
      <c r="Q18" s="340"/>
      <c r="R18" s="341"/>
      <c r="S18" s="305"/>
      <c r="T18" s="342"/>
      <c r="U18" s="342"/>
      <c r="V18" s="342"/>
      <c r="W18" s="305"/>
      <c r="X18" s="305"/>
      <c r="Y18" s="305"/>
      <c r="Z18" s="305"/>
      <c r="AA18" s="305"/>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row>
    <row r="19" spans="1:53" ht="19.5">
      <c r="A19" s="301"/>
      <c r="B19" s="305"/>
      <c r="C19" s="305"/>
      <c r="D19" s="305"/>
      <c r="E19" s="305"/>
      <c r="F19" s="305"/>
      <c r="G19" s="305"/>
      <c r="H19" s="305"/>
      <c r="I19" s="305"/>
      <c r="J19" s="305"/>
      <c r="K19" s="305"/>
      <c r="L19" s="305"/>
      <c r="M19" s="305"/>
      <c r="N19" s="301"/>
      <c r="O19" s="305"/>
      <c r="P19" s="305"/>
      <c r="Q19" s="305"/>
      <c r="R19" s="305"/>
      <c r="S19" s="305"/>
      <c r="T19" s="305"/>
      <c r="U19" s="305"/>
      <c r="V19" s="305"/>
      <c r="W19" s="305"/>
      <c r="X19" s="305"/>
      <c r="Y19" s="305"/>
      <c r="Z19" s="305"/>
      <c r="AA19" s="305"/>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row>
    <row r="20" spans="1:53" ht="19.5">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row>
    <row r="21" spans="1:53" ht="19.5">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row>
    <row r="22" spans="1:53" ht="18"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row>
    <row r="23" spans="1:53" ht="18"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row>
    <row r="24" spans="1:53" ht="18"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row>
    <row r="25" spans="1:53" ht="19.5">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row>
    <row r="26" spans="1:53" ht="19.5">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row>
    <row r="27" spans="1:53" ht="19.5">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row>
    <row r="28" spans="1:53" ht="18"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row>
    <row r="29" spans="1:53" ht="18"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row>
    <row r="30" spans="1:53" ht="18"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row>
    <row r="31" spans="1:53" ht="18"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row>
    <row r="32" spans="1:53" ht="18"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row>
    <row r="33" spans="1:53" ht="18"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row>
    <row r="34" spans="1:53" ht="18"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row>
    <row r="35" spans="1:53" ht="18" customHeight="1">
      <c r="A35" s="301"/>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row>
    <row r="36" spans="1:53" ht="18" customHeight="1">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row>
    <row r="37" spans="1:53" ht="19.5">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row>
    <row r="38" spans="1:53" ht="19.5">
      <c r="A38" s="301"/>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row>
    <row r="39" spans="1:53" ht="19.5">
      <c r="A39" s="301"/>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row>
    <row r="40" spans="1:53" ht="19.5">
      <c r="A40" s="301"/>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row>
    <row r="41" spans="1:53" ht="19.5">
      <c r="A41" s="301"/>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row>
    <row r="42" spans="1:53" ht="19.5">
      <c r="A42" s="301"/>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row>
    <row r="43" spans="1:53" ht="19.5">
      <c r="A43" s="301"/>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row>
    <row r="44" spans="1:53" ht="19.5">
      <c r="A44" s="30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row>
    <row r="45" spans="1:53" ht="19.5">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row>
    <row r="46" spans="1:53" ht="19.5">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row>
    <row r="47" spans="1:53" ht="19.5">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row>
    <row r="48" spans="1:53" ht="19.5">
      <c r="A48" s="301"/>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row>
    <row r="49" spans="1:53" ht="19.5">
      <c r="A49" s="301"/>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row>
    <row r="50" spans="1:53" ht="19.5">
      <c r="A50" s="301"/>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row>
    <row r="51" spans="1:53" ht="19.5">
      <c r="A51" s="301"/>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row>
    <row r="52" spans="1:53" ht="19.5">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row>
    <row r="53" spans="1:53" ht="19.5">
      <c r="A53" s="301"/>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row>
    <row r="54" spans="1:53" ht="19.5">
      <c r="A54" s="301"/>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row>
    <row r="55" spans="1:53" ht="19.5">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row>
    <row r="56" spans="1:53" ht="19.5">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row>
    <row r="57" spans="1:53" ht="19.5">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row>
    <row r="58" spans="1:53" ht="19.5">
      <c r="A58" s="301"/>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row>
    <row r="59" spans="1:53" ht="19.5">
      <c r="A59" s="301"/>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row>
    <row r="60" spans="1:53" ht="19.5">
      <c r="A60" s="301"/>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row>
    <row r="61" spans="1:53" ht="19.5">
      <c r="A61" s="301"/>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row>
    <row r="62" spans="1:53" ht="19.5">
      <c r="A62" s="301"/>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row>
    <row r="63" spans="1:53" ht="19.5">
      <c r="A63" s="301"/>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row>
    <row r="64" spans="1:53" ht="19.5">
      <c r="A64" s="301"/>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row>
    <row r="65" spans="1:53" ht="19.5">
      <c r="A65" s="301"/>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row>
    <row r="66" spans="1:53" ht="19.5">
      <c r="A66" s="301"/>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row>
    <row r="67" spans="1:53" ht="19.5">
      <c r="A67" s="301"/>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301"/>
      <c r="BA67" s="301"/>
    </row>
    <row r="68" spans="1:53" ht="19.5">
      <c r="A68" s="301"/>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row>
    <row r="69" spans="1:53" ht="19.5">
      <c r="A69" s="301"/>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row>
    <row r="70" spans="1:53" ht="19.5">
      <c r="A70" s="301"/>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row>
    <row r="71" spans="1:53" ht="19.5">
      <c r="A71" s="301"/>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301"/>
      <c r="BA71" s="301"/>
    </row>
    <row r="72" spans="1:53" ht="19.5">
      <c r="A72" s="301"/>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1"/>
      <c r="AZ72" s="301"/>
      <c r="BA72" s="301"/>
    </row>
    <row r="73" spans="1:53" ht="19.5">
      <c r="A73" s="301"/>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1"/>
    </row>
    <row r="74" spans="1:53" ht="19.5">
      <c r="A74" s="301"/>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row>
    <row r="75" spans="1:53" ht="19.5">
      <c r="A75" s="301"/>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row>
    <row r="76" spans="1:53" ht="19.5">
      <c r="A76" s="301"/>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301"/>
      <c r="AW76" s="301"/>
      <c r="AX76" s="301"/>
      <c r="AY76" s="301"/>
      <c r="AZ76" s="301"/>
      <c r="BA76" s="301"/>
    </row>
    <row r="77" spans="1:53" ht="19.5">
      <c r="A77" s="301"/>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c r="BA77" s="301"/>
    </row>
    <row r="78" spans="1:53" ht="19.5">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row>
  </sheetData>
  <mergeCells count="12">
    <mergeCell ref="D10:E10"/>
    <mergeCell ref="Q10:R10"/>
    <mergeCell ref="D11:E11"/>
    <mergeCell ref="Q11:R11"/>
    <mergeCell ref="C13:F13"/>
    <mergeCell ref="P13:S13"/>
    <mergeCell ref="E14:F14"/>
    <mergeCell ref="R14:S14"/>
    <mergeCell ref="G15:H15"/>
    <mergeCell ref="T15:U15"/>
    <mergeCell ref="G16:H16"/>
    <mergeCell ref="T16:U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80"/>
  <sheetViews>
    <sheetView showRowColHeaders="0" zoomScaleNormal="100" workbookViewId="0">
      <pane ySplit="4" topLeftCell="A5" activePane="bottomLeft" state="frozen"/>
      <selection pane="bottomLeft" activeCell="H14" sqref="H14"/>
      <selection activeCell="H14" sqref="H14"/>
    </sheetView>
  </sheetViews>
  <sheetFormatPr defaultColWidth="11.42578125" defaultRowHeight="15"/>
  <cols>
    <col min="1" max="1" width="7" customWidth="1"/>
    <col min="2" max="2" width="30.28515625" customWidth="1"/>
    <col min="3" max="3" width="7.7109375" customWidth="1"/>
    <col min="6" max="6" width="2.28515625" customWidth="1"/>
    <col min="7" max="7" width="1.85546875" style="3" customWidth="1"/>
    <col min="8" max="8" width="7" customWidth="1"/>
    <col min="9" max="9" width="27.140625" customWidth="1"/>
    <col min="10" max="10" width="8.7109375" customWidth="1"/>
    <col min="13" max="13" width="2.28515625" customWidth="1"/>
    <col min="14" max="14" width="2.140625" style="3" customWidth="1"/>
    <col min="15" max="15" width="7" customWidth="1"/>
    <col min="16" max="16" width="23.7109375" customWidth="1"/>
    <col min="17" max="17" width="7.7109375" customWidth="1"/>
    <col min="20" max="20" width="2.28515625" customWidth="1"/>
    <col min="21" max="38" width="11.28515625" style="23"/>
  </cols>
  <sheetData>
    <row r="1" spans="1:38" s="301" customFormat="1" ht="13.7" customHeight="1"/>
    <row r="2" spans="1:38" s="301" customFormat="1" ht="13.7" customHeight="1"/>
    <row r="3" spans="1:38" s="301" customFormat="1" ht="13.7" customHeight="1"/>
    <row r="4" spans="1:38" s="23" customFormat="1" ht="42" customHeight="1">
      <c r="A4" s="310" t="s">
        <v>102</v>
      </c>
      <c r="AL4"/>
    </row>
    <row r="5" spans="1:38" s="23" customFormat="1" ht="27.95" customHeight="1" thickBot="1"/>
    <row r="6" spans="1:38" s="35" customFormat="1" ht="30.75" customHeight="1">
      <c r="A6" s="22" t="s">
        <v>103</v>
      </c>
      <c r="B6" s="33" t="s">
        <v>104</v>
      </c>
      <c r="C6" s="30"/>
      <c r="D6" s="30"/>
      <c r="E6" s="30"/>
      <c r="F6" s="32"/>
      <c r="G6" s="34"/>
      <c r="H6" s="41" t="s">
        <v>105</v>
      </c>
      <c r="I6" s="33" t="s">
        <v>106</v>
      </c>
      <c r="J6" s="30"/>
      <c r="K6" s="30"/>
      <c r="L6" s="30"/>
      <c r="M6" s="32"/>
      <c r="N6" s="34"/>
      <c r="O6" s="31" t="s">
        <v>107</v>
      </c>
      <c r="P6" s="33" t="s">
        <v>108</v>
      </c>
      <c r="Q6" s="9"/>
      <c r="R6" s="7"/>
      <c r="S6" s="7"/>
      <c r="T6" s="8"/>
      <c r="U6" s="80"/>
      <c r="V6" s="80"/>
      <c r="W6" s="80"/>
      <c r="X6" s="80"/>
      <c r="Y6" s="80"/>
      <c r="Z6" s="80"/>
      <c r="AA6" s="80"/>
      <c r="AB6" s="80"/>
      <c r="AC6" s="80"/>
      <c r="AD6" s="80"/>
      <c r="AE6" s="80"/>
      <c r="AF6" s="80"/>
      <c r="AG6" s="80"/>
      <c r="AH6" s="80"/>
      <c r="AI6" s="80"/>
      <c r="AJ6" s="80"/>
      <c r="AK6" s="80"/>
      <c r="AL6" s="80"/>
    </row>
    <row r="7" spans="1:38" ht="15.75" customHeight="1">
      <c r="A7" s="24"/>
      <c r="B7" s="10"/>
      <c r="C7" s="25"/>
      <c r="D7" s="10"/>
      <c r="E7" s="130" t="s">
        <v>109</v>
      </c>
      <c r="F7" s="11"/>
      <c r="H7" s="24"/>
      <c r="I7" s="10"/>
      <c r="J7" s="25"/>
      <c r="K7" s="10"/>
      <c r="L7" s="130" t="s">
        <v>109</v>
      </c>
      <c r="M7" s="11"/>
      <c r="O7" s="66"/>
      <c r="P7" s="78" t="s">
        <v>110</v>
      </c>
      <c r="Q7" s="10"/>
      <c r="R7" s="129"/>
      <c r="S7" s="130" t="s">
        <v>109</v>
      </c>
      <c r="T7" s="11"/>
    </row>
    <row r="8" spans="1:38" ht="15.75" customHeight="1">
      <c r="A8" s="24"/>
      <c r="B8" s="44"/>
      <c r="C8" s="25"/>
      <c r="D8" s="10"/>
      <c r="E8" s="10"/>
      <c r="F8" s="11"/>
      <c r="H8" s="24"/>
      <c r="I8" s="10"/>
      <c r="J8" s="25"/>
      <c r="K8" s="10"/>
      <c r="L8" s="10"/>
      <c r="M8" s="11"/>
      <c r="O8" s="73"/>
      <c r="P8" s="16"/>
      <c r="Q8" s="16"/>
      <c r="R8" s="10"/>
      <c r="S8" s="10"/>
      <c r="T8" s="71"/>
    </row>
    <row r="9" spans="1:38" ht="15.75" customHeight="1">
      <c r="A9" s="24"/>
      <c r="B9" s="44"/>
      <c r="C9" s="25"/>
      <c r="D9" s="10"/>
      <c r="E9" s="10"/>
      <c r="F9" s="11"/>
      <c r="H9" s="26"/>
      <c r="I9" s="17" t="s">
        <v>111</v>
      </c>
      <c r="J9" s="5">
        <v>21.3</v>
      </c>
      <c r="K9" s="18" t="s">
        <v>112</v>
      </c>
      <c r="L9" s="18"/>
      <c r="M9" s="6"/>
      <c r="O9" s="26"/>
      <c r="P9" s="17"/>
      <c r="Q9" s="18"/>
      <c r="R9" s="5"/>
      <c r="S9" s="18"/>
      <c r="T9" s="6"/>
    </row>
    <row r="10" spans="1:38" ht="15.75" customHeight="1">
      <c r="A10" s="24"/>
      <c r="B10" s="44" t="s">
        <v>113</v>
      </c>
      <c r="C10" s="25"/>
      <c r="D10" s="10"/>
      <c r="E10" s="10"/>
      <c r="F10" s="11"/>
      <c r="H10" s="26"/>
      <c r="I10" s="17" t="s">
        <v>114</v>
      </c>
      <c r="J10" s="5">
        <v>157.9</v>
      </c>
      <c r="K10" s="18" t="s">
        <v>112</v>
      </c>
      <c r="L10" s="5"/>
      <c r="M10" s="6"/>
      <c r="O10" s="74"/>
      <c r="P10" s="17" t="s">
        <v>111</v>
      </c>
      <c r="Q10" s="5">
        <v>10.6</v>
      </c>
      <c r="R10" s="18"/>
      <c r="S10" s="5"/>
      <c r="T10" s="6"/>
    </row>
    <row r="11" spans="1:38" ht="15.75" customHeight="1" thickBot="1">
      <c r="A11" s="24"/>
      <c r="B11" s="44"/>
      <c r="C11" s="25"/>
      <c r="D11" s="10"/>
      <c r="E11" s="10"/>
      <c r="F11" s="11"/>
      <c r="H11" s="26" t="s">
        <v>115</v>
      </c>
      <c r="I11" s="5" t="s">
        <v>116</v>
      </c>
      <c r="J11" s="5">
        <f>C22/C18</f>
        <v>0.10290003787456835</v>
      </c>
      <c r="K11" s="5" t="s">
        <v>117</v>
      </c>
      <c r="L11" s="5"/>
      <c r="M11" s="6"/>
      <c r="O11" s="74"/>
      <c r="P11" s="17"/>
      <c r="Q11" s="5"/>
      <c r="R11" s="18"/>
      <c r="S11" s="5"/>
      <c r="T11" s="6"/>
    </row>
    <row r="12" spans="1:38" ht="15.75" customHeight="1" thickBot="1">
      <c r="A12" s="24"/>
      <c r="B12" s="44"/>
      <c r="C12" s="25"/>
      <c r="D12" s="10"/>
      <c r="E12" s="10"/>
      <c r="F12" s="11"/>
      <c r="H12" s="27"/>
      <c r="I12" s="5"/>
      <c r="J12" s="5"/>
      <c r="K12" s="5"/>
      <c r="L12" s="5"/>
      <c r="M12" s="6"/>
      <c r="O12" s="75"/>
      <c r="P12" s="55" t="s">
        <v>118</v>
      </c>
      <c r="Q12" s="58">
        <f>Q10*0.6</f>
        <v>6.3599999999999994</v>
      </c>
      <c r="R12" s="59" t="s">
        <v>119</v>
      </c>
      <c r="S12" s="60"/>
      <c r="T12" s="6"/>
    </row>
    <row r="13" spans="1:38" ht="15.75" customHeight="1" thickBot="1">
      <c r="A13" s="24"/>
      <c r="B13" s="44"/>
      <c r="C13" s="25"/>
      <c r="D13" s="10"/>
      <c r="E13" s="10"/>
      <c r="F13" s="11"/>
      <c r="H13" s="27"/>
      <c r="I13" s="5" t="s">
        <v>118</v>
      </c>
      <c r="J13" s="19">
        <f>(J9+J10*J11)/100</f>
        <v>0.37547915980394342</v>
      </c>
      <c r="K13" s="5" t="s">
        <v>120</v>
      </c>
      <c r="L13" s="5"/>
      <c r="M13" s="6"/>
      <c r="O13" s="77"/>
      <c r="P13" s="54"/>
      <c r="Q13" s="54"/>
      <c r="R13" s="54"/>
      <c r="S13" s="54"/>
      <c r="T13" s="45"/>
    </row>
    <row r="14" spans="1:38" ht="21.75" customHeight="1" thickBot="1">
      <c r="A14" s="24"/>
      <c r="B14" s="10"/>
      <c r="C14" s="10"/>
      <c r="D14" s="10"/>
      <c r="E14" s="10"/>
      <c r="F14" s="11"/>
      <c r="G14" s="29"/>
      <c r="H14" s="42"/>
      <c r="I14" s="55" t="s">
        <v>118</v>
      </c>
      <c r="J14" s="76">
        <f>J13*100*0.6</f>
        <v>22.528749588236604</v>
      </c>
      <c r="K14" s="59" t="s">
        <v>119</v>
      </c>
      <c r="L14" s="60"/>
      <c r="M14" s="6"/>
      <c r="N14" s="29"/>
      <c r="O14" s="66" t="s">
        <v>121</v>
      </c>
      <c r="P14" s="67" t="s">
        <v>108</v>
      </c>
      <c r="Q14" s="25"/>
      <c r="R14" s="10"/>
      <c r="S14" s="10"/>
      <c r="T14" s="11"/>
    </row>
    <row r="15" spans="1:38" ht="15.75" customHeight="1" thickBot="1">
      <c r="A15" s="46"/>
      <c r="B15" s="47"/>
      <c r="C15" s="28"/>
      <c r="D15" s="5"/>
      <c r="E15" s="5"/>
      <c r="F15" s="6"/>
      <c r="H15" s="56"/>
      <c r="I15" s="57"/>
      <c r="J15" s="57"/>
      <c r="K15" s="57"/>
      <c r="L15" s="57"/>
      <c r="M15" s="21"/>
      <c r="O15" s="66"/>
      <c r="P15" s="78" t="s">
        <v>122</v>
      </c>
      <c r="Q15" s="10"/>
      <c r="R15" s="10"/>
      <c r="S15" s="130" t="s">
        <v>123</v>
      </c>
      <c r="T15" s="11"/>
    </row>
    <row r="16" spans="1:38" ht="15.75" customHeight="1" thickBot="1">
      <c r="A16" s="74" t="s">
        <v>124</v>
      </c>
      <c r="B16" s="17" t="s">
        <v>125</v>
      </c>
      <c r="C16" s="313">
        <v>18</v>
      </c>
      <c r="D16" s="5" t="s">
        <v>126</v>
      </c>
      <c r="E16" s="5"/>
      <c r="F16" s="6"/>
      <c r="H16" s="23"/>
      <c r="I16" s="23"/>
      <c r="J16" s="23"/>
      <c r="K16" s="23"/>
      <c r="L16" s="23"/>
      <c r="M16" s="23"/>
      <c r="O16" s="73"/>
      <c r="P16" s="16"/>
      <c r="Q16" s="16"/>
      <c r="R16" s="10"/>
      <c r="S16" s="10"/>
      <c r="T16" s="71"/>
    </row>
    <row r="17" spans="1:38" ht="15.75" customHeight="1" thickBot="1">
      <c r="A17" s="74" t="s">
        <v>127</v>
      </c>
      <c r="B17" s="17" t="s">
        <v>128</v>
      </c>
      <c r="C17" s="313">
        <v>31</v>
      </c>
      <c r="D17" s="5" t="s">
        <v>129</v>
      </c>
      <c r="E17" s="5"/>
      <c r="F17" s="6"/>
      <c r="H17" s="627" t="s">
        <v>130</v>
      </c>
      <c r="I17" s="629" t="s">
        <v>131</v>
      </c>
      <c r="J17" s="9"/>
      <c r="K17" s="7"/>
      <c r="L17" s="7"/>
      <c r="M17" s="8"/>
      <c r="O17" s="27"/>
      <c r="P17" s="5"/>
      <c r="Q17" s="5"/>
      <c r="R17" s="5"/>
      <c r="S17" s="5"/>
      <c r="T17" s="6"/>
    </row>
    <row r="18" spans="1:38" ht="15.75" customHeight="1" thickBot="1">
      <c r="A18" s="74" t="s">
        <v>132</v>
      </c>
      <c r="B18" s="5" t="s">
        <v>133</v>
      </c>
      <c r="C18" s="476">
        <f>FORSIDE!E29*FORSIDE!E37</f>
        <v>89.769999999999982</v>
      </c>
      <c r="D18" s="5" t="s">
        <v>134</v>
      </c>
      <c r="E18" s="5"/>
      <c r="F18" s="6"/>
      <c r="H18" s="628"/>
      <c r="I18" s="630"/>
      <c r="J18" s="10"/>
      <c r="K18" s="10"/>
      <c r="L18" s="130" t="s">
        <v>109</v>
      </c>
      <c r="M18" s="11"/>
      <c r="O18" s="26"/>
      <c r="P18" s="17" t="s">
        <v>135</v>
      </c>
      <c r="Q18" s="5">
        <v>1.8</v>
      </c>
      <c r="R18" s="5"/>
      <c r="S18" s="18"/>
      <c r="T18" s="6"/>
    </row>
    <row r="19" spans="1:38" ht="15.75" customHeight="1" thickBot="1">
      <c r="A19" s="74" t="s">
        <v>136</v>
      </c>
      <c r="B19" s="5" t="s">
        <v>137</v>
      </c>
      <c r="C19" s="313">
        <v>2</v>
      </c>
      <c r="D19" s="265" t="s">
        <v>138</v>
      </c>
      <c r="E19" s="265"/>
      <c r="F19" s="6"/>
      <c r="H19" s="53"/>
      <c r="I19" s="16"/>
      <c r="J19" s="16"/>
      <c r="K19" s="10"/>
      <c r="L19" s="10"/>
      <c r="M19" s="71"/>
      <c r="O19" s="74" t="s">
        <v>132</v>
      </c>
      <c r="P19" s="5" t="s">
        <v>139</v>
      </c>
      <c r="Q19" s="5">
        <f>C18</f>
        <v>89.769999999999982</v>
      </c>
      <c r="R19" s="5" t="s">
        <v>140</v>
      </c>
      <c r="S19" s="18"/>
      <c r="T19" s="6"/>
    </row>
    <row r="20" spans="1:38" ht="15.75" customHeight="1" thickBot="1">
      <c r="A20" s="74" t="s">
        <v>141</v>
      </c>
      <c r="B20" s="5" t="s">
        <v>142</v>
      </c>
      <c r="C20" s="313">
        <v>2</v>
      </c>
      <c r="D20" s="18" t="s">
        <v>138</v>
      </c>
      <c r="E20" s="18"/>
      <c r="F20" s="6"/>
      <c r="H20" s="26"/>
      <c r="I20" s="17"/>
      <c r="J20" s="18"/>
      <c r="K20" s="5"/>
      <c r="L20" s="18"/>
      <c r="M20" s="6"/>
      <c r="O20" s="74" t="s">
        <v>143</v>
      </c>
      <c r="P20" s="17" t="s">
        <v>144</v>
      </c>
      <c r="Q20" s="487">
        <v>0</v>
      </c>
      <c r="R20" s="5" t="s">
        <v>140</v>
      </c>
      <c r="S20" s="5"/>
      <c r="T20" s="6"/>
    </row>
    <row r="21" spans="1:38" ht="15.75" customHeight="1" thickBot="1">
      <c r="A21" s="74" t="s">
        <v>145</v>
      </c>
      <c r="B21" s="5" t="s">
        <v>146</v>
      </c>
      <c r="C21" s="5">
        <f>C17*(1+(5/C18)-(0.1*C19)-(0.1*C20))</f>
        <v>20.32663473320709</v>
      </c>
      <c r="D21" s="5" t="s">
        <v>129</v>
      </c>
      <c r="E21" s="5"/>
      <c r="F21" s="6"/>
      <c r="H21" s="26"/>
      <c r="I21" s="17"/>
      <c r="J21" s="5"/>
      <c r="K21" s="5"/>
      <c r="L21" s="18"/>
      <c r="M21" s="6"/>
      <c r="O21" s="27"/>
      <c r="P21" s="5"/>
      <c r="Q21" s="5"/>
      <c r="R21" s="5"/>
      <c r="S21" s="5"/>
      <c r="T21" s="6"/>
    </row>
    <row r="22" spans="1:38" ht="19.5" thickBot="1">
      <c r="A22" s="26"/>
      <c r="B22" s="5" t="s">
        <v>147</v>
      </c>
      <c r="C22" s="476">
        <f>FORSIDE!E29</f>
        <v>9.2373363999999984</v>
      </c>
      <c r="D22" s="5" t="s">
        <v>148</v>
      </c>
      <c r="E22" s="5"/>
      <c r="F22" s="6"/>
      <c r="H22" s="26"/>
      <c r="I22" s="17" t="s">
        <v>149</v>
      </c>
      <c r="J22" s="314">
        <v>1.1666666666666667</v>
      </c>
      <c r="K22" s="18" t="s">
        <v>150</v>
      </c>
      <c r="L22" s="5"/>
      <c r="M22" s="6"/>
      <c r="O22" s="27"/>
      <c r="P22" s="55" t="s">
        <v>118</v>
      </c>
      <c r="Q22" s="58">
        <f>(Q20*Q18/Q19)*0.6</f>
        <v>0</v>
      </c>
      <c r="R22" s="59" t="s">
        <v>119</v>
      </c>
      <c r="S22" s="60"/>
      <c r="T22" s="6"/>
    </row>
    <row r="23" spans="1:38" ht="16.5" thickBot="1">
      <c r="A23" s="27"/>
      <c r="B23" s="5" t="s">
        <v>116</v>
      </c>
      <c r="C23" s="5">
        <f>C22/C18</f>
        <v>0.10290003787456835</v>
      </c>
      <c r="D23" s="5" t="s">
        <v>151</v>
      </c>
      <c r="E23" s="5"/>
      <c r="F23" s="6"/>
      <c r="H23" s="26"/>
      <c r="I23" s="18"/>
      <c r="J23" s="18"/>
      <c r="K23" s="18"/>
      <c r="L23" s="5"/>
      <c r="M23" s="6"/>
      <c r="O23" s="68"/>
      <c r="P23" s="69"/>
      <c r="Q23" s="20"/>
      <c r="R23" s="20"/>
      <c r="S23" s="20"/>
      <c r="T23" s="70"/>
    </row>
    <row r="24" spans="1:38" ht="11.25" customHeight="1">
      <c r="A24" s="27"/>
      <c r="B24" s="5"/>
      <c r="C24" s="5"/>
      <c r="D24" s="5"/>
      <c r="E24" s="5"/>
      <c r="F24" s="6"/>
      <c r="H24" s="26"/>
      <c r="I24" s="5"/>
      <c r="J24" s="5"/>
      <c r="K24" s="5"/>
      <c r="L24" s="5"/>
      <c r="M24" s="6"/>
      <c r="O24" s="23"/>
      <c r="P24" s="23"/>
      <c r="Q24" s="23"/>
      <c r="R24" s="23"/>
      <c r="S24" s="23"/>
      <c r="T24" s="23"/>
    </row>
    <row r="25" spans="1:38" ht="12.6" customHeight="1" thickBot="1">
      <c r="A25" s="27"/>
      <c r="B25" s="5" t="s">
        <v>118</v>
      </c>
      <c r="C25" s="19">
        <f>1000/(C16*C21*C18)</f>
        <v>3.0446038111863367E-2</v>
      </c>
      <c r="D25" s="5" t="s">
        <v>120</v>
      </c>
      <c r="E25" s="5"/>
      <c r="F25" s="6"/>
      <c r="H25" s="27"/>
      <c r="I25" s="5"/>
      <c r="J25" s="5"/>
      <c r="K25" s="5"/>
      <c r="L25" s="5"/>
      <c r="M25" s="6"/>
      <c r="O25" s="23"/>
      <c r="P25" s="23"/>
      <c r="Q25" s="23"/>
      <c r="R25" s="23"/>
      <c r="S25" s="23"/>
      <c r="T25" s="23"/>
    </row>
    <row r="26" spans="1:38" ht="25.5" customHeight="1" thickBot="1">
      <c r="A26" s="42"/>
      <c r="B26" s="55" t="s">
        <v>118</v>
      </c>
      <c r="C26" s="58">
        <f>C25*100*0.6</f>
        <v>1.8267622867118019</v>
      </c>
      <c r="D26" s="59" t="s">
        <v>119</v>
      </c>
      <c r="E26" s="60"/>
      <c r="F26" s="6"/>
      <c r="H26" s="27"/>
      <c r="I26" s="55" t="s">
        <v>118</v>
      </c>
      <c r="J26" s="58">
        <f>J22</f>
        <v>1.1666666666666667</v>
      </c>
      <c r="K26" s="59" t="s">
        <v>119</v>
      </c>
      <c r="L26" s="60"/>
      <c r="M26" s="6"/>
      <c r="O26" s="23"/>
      <c r="P26" s="23"/>
      <c r="Q26" s="23"/>
      <c r="R26" s="23"/>
      <c r="S26" s="23"/>
      <c r="T26" s="23"/>
    </row>
    <row r="27" spans="1:38" s="12" customFormat="1" ht="12.75" customHeight="1" thickBot="1">
      <c r="A27" s="72"/>
      <c r="B27" s="69"/>
      <c r="C27" s="69"/>
      <c r="D27" s="69"/>
      <c r="E27" s="69"/>
      <c r="F27" s="70"/>
      <c r="G27" s="43"/>
      <c r="H27" s="68"/>
      <c r="I27" s="69"/>
      <c r="J27" s="20"/>
      <c r="K27" s="20"/>
      <c r="L27" s="20"/>
      <c r="M27" s="70"/>
      <c r="N27" s="43"/>
      <c r="O27" s="23"/>
      <c r="P27" s="23"/>
      <c r="Q27" s="23"/>
      <c r="R27" s="23"/>
      <c r="S27" s="23"/>
      <c r="T27" s="23"/>
      <c r="U27" s="81"/>
      <c r="V27" s="81"/>
      <c r="W27" s="81"/>
      <c r="X27" s="81"/>
      <c r="Y27" s="81"/>
      <c r="Z27" s="81"/>
      <c r="AA27" s="81"/>
      <c r="AB27" s="81"/>
      <c r="AC27" s="81"/>
      <c r="AD27" s="81"/>
      <c r="AE27" s="81"/>
      <c r="AF27" s="81"/>
      <c r="AG27" s="81"/>
      <c r="AH27" s="81"/>
      <c r="AI27" s="81"/>
      <c r="AJ27" s="81"/>
      <c r="AK27" s="81"/>
      <c r="AL27" s="81"/>
    </row>
    <row r="28" spans="1:38" ht="14.25" customHeight="1">
      <c r="A28" s="23"/>
      <c r="B28" s="23"/>
      <c r="C28" s="23"/>
      <c r="D28" s="23"/>
      <c r="E28" s="23"/>
      <c r="F28" s="23"/>
      <c r="G28" s="23"/>
      <c r="H28" s="23"/>
      <c r="I28" s="23"/>
      <c r="J28" s="23"/>
      <c r="K28" s="23"/>
      <c r="L28" s="23"/>
      <c r="M28" s="23"/>
      <c r="N28" s="23"/>
      <c r="O28" s="23"/>
      <c r="P28" s="23"/>
      <c r="Q28" s="23"/>
      <c r="R28" s="23"/>
      <c r="S28" s="23"/>
      <c r="T28" s="23"/>
    </row>
    <row r="29" spans="1:38" ht="27.95" customHeight="1">
      <c r="A29" s="23"/>
      <c r="B29" s="23"/>
      <c r="C29" s="23"/>
      <c r="D29" s="23"/>
      <c r="E29" s="23"/>
      <c r="F29" s="23"/>
      <c r="G29" s="23"/>
      <c r="H29" s="23"/>
      <c r="I29" s="23"/>
      <c r="J29" s="23"/>
      <c r="K29" s="23"/>
      <c r="L29" s="23"/>
      <c r="M29" s="23"/>
      <c r="N29" s="23"/>
      <c r="O29" s="23"/>
      <c r="P29" s="23"/>
      <c r="Q29" s="23"/>
      <c r="R29" s="23"/>
      <c r="S29" s="23"/>
      <c r="T29" s="23"/>
    </row>
    <row r="30" spans="1:38" ht="15.75" customHeight="1">
      <c r="A30" s="23"/>
      <c r="B30" s="23"/>
      <c r="C30" s="23"/>
      <c r="D30" s="23"/>
      <c r="E30" s="23"/>
      <c r="F30" s="23"/>
      <c r="G30" s="23"/>
      <c r="H30" s="23"/>
      <c r="I30" s="23"/>
      <c r="J30" s="23"/>
      <c r="K30" s="23"/>
      <c r="L30" s="23"/>
      <c r="M30" s="23"/>
      <c r="N30" s="23"/>
      <c r="O30" s="23"/>
      <c r="P30" s="23"/>
      <c r="Q30" s="23"/>
      <c r="R30" s="23"/>
      <c r="S30" s="23"/>
      <c r="T30" s="23"/>
    </row>
    <row r="31" spans="1:38">
      <c r="A31" s="23"/>
      <c r="B31" s="23"/>
      <c r="C31" s="23"/>
      <c r="D31" s="23"/>
      <c r="E31" s="23"/>
      <c r="F31" s="23"/>
      <c r="G31" s="23"/>
      <c r="H31" s="23"/>
      <c r="I31" s="23"/>
      <c r="J31" s="23"/>
      <c r="K31" s="23"/>
      <c r="L31" s="23"/>
      <c r="M31" s="23"/>
      <c r="N31" s="23"/>
      <c r="O31" s="23"/>
      <c r="P31" s="23"/>
      <c r="Q31" s="23"/>
      <c r="R31" s="23"/>
      <c r="S31" s="23"/>
      <c r="T31" s="23"/>
    </row>
    <row r="32" spans="1:38" ht="15.75" customHeight="1">
      <c r="A32" s="23"/>
      <c r="B32" s="23"/>
      <c r="C32" s="23"/>
      <c r="D32" s="23"/>
      <c r="E32" s="23"/>
      <c r="F32" s="23"/>
      <c r="G32" s="23"/>
      <c r="H32" s="23"/>
      <c r="I32" s="23"/>
      <c r="J32" s="23"/>
      <c r="K32" s="23"/>
      <c r="L32" s="23"/>
      <c r="M32" s="23"/>
      <c r="N32" s="23"/>
      <c r="O32" s="23"/>
      <c r="P32" s="23"/>
      <c r="Q32" s="23"/>
      <c r="R32" s="23"/>
      <c r="S32" s="23"/>
      <c r="T32" s="23"/>
    </row>
    <row r="33" spans="1:38">
      <c r="A33" s="23"/>
      <c r="B33" s="23"/>
      <c r="C33" s="23"/>
      <c r="D33" s="23"/>
      <c r="E33" s="23"/>
      <c r="F33" s="23"/>
      <c r="G33" s="23"/>
      <c r="H33" s="23"/>
      <c r="I33" s="23"/>
      <c r="J33" s="23"/>
      <c r="K33" s="23"/>
      <c r="L33" s="23"/>
      <c r="M33" s="23"/>
      <c r="N33" s="23"/>
      <c r="O33" s="23"/>
      <c r="P33" s="23"/>
      <c r="Q33" s="23"/>
      <c r="R33" s="23"/>
      <c r="S33" s="23"/>
      <c r="T33" s="23"/>
    </row>
    <row r="34" spans="1:38" ht="15.75" customHeight="1">
      <c r="A34" s="23"/>
      <c r="B34" s="23"/>
      <c r="C34" s="23"/>
      <c r="D34" s="23"/>
      <c r="E34" s="23"/>
      <c r="F34" s="23"/>
      <c r="G34" s="23"/>
      <c r="H34" s="23"/>
      <c r="I34" s="23"/>
      <c r="J34" s="23"/>
      <c r="K34" s="23"/>
      <c r="L34" s="23"/>
      <c r="M34" s="23"/>
      <c r="N34" s="23"/>
      <c r="O34" s="23"/>
      <c r="P34" s="23"/>
      <c r="Q34" s="23"/>
      <c r="R34" s="23"/>
      <c r="S34" s="23"/>
      <c r="T34" s="23"/>
    </row>
    <row r="35" spans="1:38">
      <c r="A35" s="23"/>
      <c r="B35" s="23"/>
      <c r="C35" s="23"/>
      <c r="D35" s="23"/>
      <c r="E35" s="23"/>
      <c r="F35" s="23"/>
      <c r="G35" s="23"/>
      <c r="H35" s="23"/>
      <c r="I35" s="23"/>
      <c r="J35" s="23"/>
      <c r="K35" s="23"/>
      <c r="L35" s="23"/>
      <c r="M35" s="23"/>
      <c r="N35" s="23"/>
      <c r="O35" s="23"/>
      <c r="P35" s="23"/>
      <c r="Q35" s="23"/>
      <c r="R35" s="23"/>
      <c r="S35" s="23"/>
      <c r="T35" s="23"/>
    </row>
    <row r="36" spans="1:38">
      <c r="A36" s="23"/>
      <c r="B36" s="23"/>
      <c r="C36" s="23"/>
      <c r="D36" s="23"/>
      <c r="E36" s="23"/>
      <c r="F36" s="23"/>
      <c r="G36" s="23"/>
      <c r="H36" s="23"/>
      <c r="I36" s="23"/>
      <c r="J36" s="23"/>
      <c r="K36" s="23"/>
      <c r="L36" s="23"/>
      <c r="M36" s="23"/>
      <c r="N36" s="23"/>
      <c r="O36" s="23"/>
      <c r="P36" s="23"/>
      <c r="Q36" s="23"/>
      <c r="R36" s="23"/>
      <c r="S36" s="23"/>
      <c r="T36" s="23"/>
    </row>
    <row r="37" spans="1:38">
      <c r="A37" s="23"/>
      <c r="B37" s="23"/>
      <c r="C37" s="23"/>
      <c r="D37" s="23"/>
      <c r="E37" s="23"/>
      <c r="F37" s="23"/>
      <c r="G37" s="23"/>
      <c r="H37" s="23"/>
      <c r="I37" s="23"/>
      <c r="J37" s="23"/>
      <c r="K37" s="23"/>
      <c r="L37" s="23"/>
      <c r="M37" s="23"/>
      <c r="N37" s="23"/>
      <c r="O37" s="23"/>
      <c r="P37" s="23"/>
      <c r="Q37" s="23"/>
      <c r="R37" s="23"/>
      <c r="S37" s="23"/>
      <c r="T37" s="23"/>
    </row>
    <row r="38" spans="1:38">
      <c r="A38" s="23"/>
      <c r="B38" s="23"/>
      <c r="C38" s="23"/>
      <c r="D38" s="23"/>
      <c r="E38" s="23"/>
      <c r="F38" s="23"/>
      <c r="G38" s="23"/>
      <c r="H38" s="23"/>
      <c r="I38" s="23"/>
      <c r="J38" s="23"/>
      <c r="K38" s="23"/>
      <c r="L38" s="23"/>
      <c r="M38" s="23"/>
      <c r="N38" s="23"/>
      <c r="O38" s="23"/>
      <c r="P38" s="23"/>
      <c r="Q38" s="23"/>
      <c r="R38" s="23"/>
      <c r="S38" s="23"/>
      <c r="T38" s="23"/>
    </row>
    <row r="39" spans="1:38">
      <c r="A39" s="23"/>
      <c r="B39" s="23"/>
      <c r="C39" s="23"/>
      <c r="D39" s="23"/>
      <c r="E39" s="23"/>
      <c r="F39" s="23"/>
      <c r="G39" s="23"/>
      <c r="H39" s="23"/>
      <c r="I39" s="23"/>
      <c r="J39" s="23"/>
      <c r="K39" s="23"/>
      <c r="L39" s="23"/>
      <c r="M39" s="23"/>
      <c r="N39" s="23"/>
      <c r="O39" s="23"/>
      <c r="P39" s="23"/>
      <c r="Q39" s="23"/>
      <c r="R39" s="23"/>
      <c r="S39" s="23"/>
      <c r="T39" s="23"/>
    </row>
    <row r="40" spans="1:38">
      <c r="A40" s="23"/>
      <c r="B40" s="23"/>
      <c r="C40" s="23"/>
      <c r="D40" s="23"/>
      <c r="E40" s="23"/>
      <c r="F40" s="23"/>
      <c r="G40" s="23"/>
      <c r="H40" s="23"/>
      <c r="I40" s="23"/>
      <c r="J40" s="23"/>
      <c r="K40" s="23"/>
      <c r="L40" s="23"/>
      <c r="M40" s="23"/>
      <c r="N40" s="23"/>
      <c r="O40" s="23"/>
      <c r="P40" s="23"/>
      <c r="Q40" s="23"/>
      <c r="R40" s="23"/>
      <c r="S40" s="23"/>
      <c r="T40" s="23"/>
    </row>
    <row r="41" spans="1:38">
      <c r="A41" s="23"/>
      <c r="B41" s="23"/>
      <c r="C41" s="23"/>
      <c r="D41" s="23"/>
      <c r="E41" s="23"/>
      <c r="F41" s="23"/>
      <c r="G41" s="23"/>
      <c r="H41" s="23"/>
      <c r="I41" s="23"/>
      <c r="J41" s="23"/>
      <c r="K41" s="23"/>
      <c r="L41" s="23"/>
      <c r="M41" s="23"/>
      <c r="N41" s="23"/>
      <c r="O41" s="23"/>
      <c r="P41" s="23"/>
      <c r="Q41" s="23"/>
      <c r="R41" s="23"/>
      <c r="S41" s="23"/>
      <c r="T41" s="23"/>
    </row>
    <row r="42" spans="1:38">
      <c r="A42" s="23"/>
      <c r="B42" s="23"/>
      <c r="C42" s="23"/>
      <c r="D42" s="23"/>
      <c r="E42" s="23"/>
      <c r="F42" s="23"/>
      <c r="G42" s="23"/>
      <c r="H42" s="23"/>
      <c r="I42" s="23"/>
      <c r="J42" s="23"/>
      <c r="K42" s="23"/>
      <c r="L42" s="23"/>
      <c r="M42" s="23"/>
      <c r="N42" s="23"/>
      <c r="O42" s="23"/>
      <c r="P42" s="23"/>
      <c r="Q42" s="23"/>
      <c r="R42" s="23"/>
      <c r="S42" s="23"/>
      <c r="T42" s="23"/>
    </row>
    <row r="43" spans="1:38">
      <c r="A43" s="23"/>
      <c r="B43" s="23"/>
      <c r="C43" s="23"/>
      <c r="D43" s="23"/>
      <c r="E43" s="23"/>
      <c r="F43" s="23"/>
      <c r="G43" s="23"/>
      <c r="H43" s="23"/>
      <c r="I43" s="23"/>
      <c r="J43" s="23"/>
      <c r="K43" s="23"/>
      <c r="L43" s="23"/>
      <c r="M43" s="23"/>
      <c r="N43" s="23"/>
      <c r="O43" s="23"/>
      <c r="P43" s="23"/>
      <c r="Q43" s="23"/>
      <c r="R43" s="23"/>
      <c r="S43" s="23"/>
      <c r="T43" s="23"/>
    </row>
    <row r="44" spans="1:38" ht="15.75" customHeight="1">
      <c r="A44" s="23"/>
      <c r="B44" s="23"/>
      <c r="C44" s="23"/>
      <c r="D44" s="23"/>
      <c r="E44" s="23"/>
      <c r="F44" s="23"/>
      <c r="G44" s="23"/>
      <c r="H44" s="23"/>
      <c r="I44" s="23"/>
      <c r="J44" s="23"/>
      <c r="K44" s="23"/>
      <c r="L44" s="23"/>
      <c r="M44" s="23"/>
      <c r="N44" s="23"/>
      <c r="O44" s="23"/>
      <c r="P44" s="23"/>
      <c r="Q44" s="23"/>
      <c r="R44" s="23"/>
      <c r="S44" s="23"/>
      <c r="T44" s="23"/>
    </row>
    <row r="45" spans="1:38">
      <c r="A45" s="23"/>
      <c r="B45" s="23"/>
      <c r="C45" s="23"/>
      <c r="D45" s="23"/>
      <c r="E45" s="23"/>
      <c r="F45" s="23"/>
      <c r="G45" s="23"/>
      <c r="H45" s="23"/>
      <c r="I45" s="23"/>
      <c r="J45" s="23"/>
      <c r="K45" s="23"/>
      <c r="L45" s="23"/>
      <c r="M45" s="23"/>
      <c r="N45" s="23"/>
      <c r="O45" s="23"/>
      <c r="P45" s="23"/>
      <c r="Q45" s="23"/>
      <c r="R45" s="23"/>
      <c r="S45" s="23"/>
      <c r="T45" s="23"/>
    </row>
    <row r="46" spans="1:38" s="2" customFormat="1"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s="23" customFormat="1"/>
    <row r="48" spans="1:3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pans="8:14" s="23" customFormat="1"/>
    <row r="66" spans="8:14" s="23" customFormat="1"/>
    <row r="67" spans="8:14" s="23" customFormat="1"/>
    <row r="68" spans="8:14" s="23" customFormat="1"/>
    <row r="69" spans="8:14" s="23" customFormat="1"/>
    <row r="70" spans="8:14" s="23" customFormat="1"/>
    <row r="71" spans="8:14" s="23" customFormat="1"/>
    <row r="72" spans="8:14" s="23" customFormat="1"/>
    <row r="73" spans="8:14" s="23" customFormat="1"/>
    <row r="74" spans="8:14" s="23" customFormat="1"/>
    <row r="75" spans="8:14" s="23" customFormat="1"/>
    <row r="76" spans="8:14" s="23" customFormat="1"/>
    <row r="77" spans="8:14" s="23" customFormat="1"/>
    <row r="78" spans="8:14" s="23" customFormat="1"/>
    <row r="79" spans="8:14">
      <c r="H79" s="23"/>
      <c r="I79" s="23"/>
      <c r="J79" s="23"/>
      <c r="K79" s="23"/>
      <c r="L79" s="23"/>
      <c r="M79" s="23"/>
      <c r="N79" s="23"/>
    </row>
    <row r="80" spans="8:14">
      <c r="H80" s="23"/>
      <c r="I80" s="23"/>
      <c r="J80" s="23"/>
      <c r="K80" s="23"/>
      <c r="L80" s="23"/>
      <c r="M80" s="23"/>
      <c r="N80" s="23"/>
    </row>
  </sheetData>
  <sheetProtection selectLockedCells="1"/>
  <mergeCells count="2">
    <mergeCell ref="H17:H18"/>
    <mergeCell ref="I17:I18"/>
  </mergeCells>
  <dataValidations count="1">
    <dataValidation type="list" allowBlank="1" showInputMessage="1" showErrorMessage="1" sqref="J20 Q9" xr:uid="{00000000-0002-0000-0500-000000000000}">
      <formula1>$B$8:$B$12</formula1>
    </dataValidation>
  </dataValidations>
  <hyperlinks>
    <hyperlink ref="D19:E19" location="Hjelpetabeller!A1" display=" klasse fra tabell" xr:uid="{00000000-0004-0000-0500-000000000000}"/>
  </hyperlinks>
  <pageMargins left="0.25" right="0.25" top="0.75" bottom="0.75" header="0.3" footer="0.3"/>
  <pageSetup paperSize="9" scale="6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HJELPETABELLER!$F$7:$F$11</xm:f>
          </x14:formula1>
          <xm:sqref>C20</xm:sqref>
        </x14:dataValidation>
        <x14:dataValidation type="list" allowBlank="1" showInputMessage="1" showErrorMessage="1" xr:uid="{00000000-0002-0000-0500-000002000000}">
          <x14:formula1>
            <xm:f>HJELPETABELLER!$B$7:$B$11</xm:f>
          </x14:formula1>
          <xm:sqref>C19</xm:sqref>
        </x14:dataValidation>
        <x14:dataValidation type="list" allowBlank="1" showInputMessage="1" showErrorMessage="1" xr:uid="{00000000-0002-0000-0500-000003000000}">
          <x14:formula1>
            <xm:f>HJELPETABELLER!$J$7:$J$9</xm:f>
          </x14:formula1>
          <xm:sqref>J22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80"/>
  <sheetViews>
    <sheetView workbookViewId="0">
      <selection activeCell="E24" sqref="E24"/>
    </sheetView>
  </sheetViews>
  <sheetFormatPr defaultColWidth="11.42578125" defaultRowHeight="15"/>
  <cols>
    <col min="1" max="1" width="7" customWidth="1"/>
    <col min="2" max="2" width="30.28515625" customWidth="1"/>
    <col min="3" max="3" width="7.7109375" customWidth="1"/>
    <col min="6" max="6" width="2.28515625" customWidth="1"/>
    <col min="7" max="7" width="1.85546875" style="3" customWidth="1"/>
    <col min="8" max="8" width="7" customWidth="1"/>
    <col min="9" max="9" width="27.140625" customWidth="1"/>
    <col min="10" max="10" width="8.7109375" customWidth="1"/>
    <col min="13" max="13" width="2.28515625" customWidth="1"/>
    <col min="14" max="14" width="2.140625" style="3" customWidth="1"/>
    <col min="15" max="15" width="7" customWidth="1"/>
    <col min="16" max="16" width="23.7109375" customWidth="1"/>
    <col min="17" max="17" width="7.7109375" customWidth="1"/>
    <col min="20" max="20" width="2.28515625" customWidth="1"/>
    <col min="21" max="38" width="11.5703125" style="23"/>
  </cols>
  <sheetData>
    <row r="1" spans="1:38" s="301" customFormat="1" ht="13.7" customHeight="1"/>
    <row r="2" spans="1:38" s="301" customFormat="1" ht="13.7" customHeight="1"/>
    <row r="3" spans="1:38" s="301" customFormat="1" ht="13.7" customHeight="1"/>
    <row r="4" spans="1:38" s="23" customFormat="1" ht="42" customHeight="1">
      <c r="A4" s="310" t="s">
        <v>102</v>
      </c>
      <c r="AL4"/>
    </row>
    <row r="5" spans="1:38" s="23" customFormat="1" ht="27.95" customHeight="1" thickBot="1"/>
    <row r="6" spans="1:38" s="35" customFormat="1" ht="30.75" customHeight="1">
      <c r="A6" s="22" t="s">
        <v>103</v>
      </c>
      <c r="B6" s="33" t="s">
        <v>104</v>
      </c>
      <c r="C6" s="30"/>
      <c r="D6" s="30"/>
      <c r="E6" s="30"/>
      <c r="F6" s="32"/>
      <c r="G6" s="34"/>
      <c r="H6" s="41" t="s">
        <v>105</v>
      </c>
      <c r="I6" s="33" t="s">
        <v>106</v>
      </c>
      <c r="J6" s="30"/>
      <c r="K6" s="30"/>
      <c r="L6" s="30"/>
      <c r="M6" s="32"/>
      <c r="N6" s="34"/>
      <c r="O6" s="31" t="s">
        <v>107</v>
      </c>
      <c r="P6" s="33" t="s">
        <v>108</v>
      </c>
      <c r="Q6" s="9"/>
      <c r="R6" s="7"/>
      <c r="S6" s="7"/>
      <c r="T6" s="8"/>
      <c r="U6" s="80"/>
      <c r="V6" s="80"/>
      <c r="W6" s="80"/>
      <c r="X6" s="80"/>
      <c r="Y6" s="80"/>
      <c r="Z6" s="80"/>
      <c r="AA6" s="80"/>
      <c r="AB6" s="80"/>
      <c r="AC6" s="80"/>
      <c r="AD6" s="80"/>
      <c r="AE6" s="80"/>
      <c r="AF6" s="80"/>
      <c r="AG6" s="80"/>
      <c r="AH6" s="80"/>
      <c r="AI6" s="80"/>
      <c r="AJ6" s="80"/>
      <c r="AK6" s="80"/>
      <c r="AL6" s="80"/>
    </row>
    <row r="7" spans="1:38" ht="15.75" customHeight="1">
      <c r="A7" s="24"/>
      <c r="B7" s="10"/>
      <c r="C7" s="25"/>
      <c r="D7" s="10"/>
      <c r="E7" s="130" t="s">
        <v>109</v>
      </c>
      <c r="F7" s="11"/>
      <c r="H7" s="24"/>
      <c r="I7" s="10"/>
      <c r="J7" s="25"/>
      <c r="K7" s="10"/>
      <c r="L7" s="130" t="s">
        <v>109</v>
      </c>
      <c r="M7" s="11"/>
      <c r="O7" s="66"/>
      <c r="P7" s="78" t="s">
        <v>110</v>
      </c>
      <c r="Q7" s="10"/>
      <c r="R7" s="129"/>
      <c r="S7" s="130" t="s">
        <v>109</v>
      </c>
      <c r="T7" s="11"/>
    </row>
    <row r="8" spans="1:38" ht="15.75" customHeight="1">
      <c r="A8" s="24"/>
      <c r="B8" s="44"/>
      <c r="C8" s="25"/>
      <c r="D8" s="10"/>
      <c r="E8" s="10"/>
      <c r="F8" s="11"/>
      <c r="H8" s="24"/>
      <c r="I8" s="10"/>
      <c r="J8" s="25"/>
      <c r="K8" s="10"/>
      <c r="L8" s="10"/>
      <c r="M8" s="11"/>
      <c r="O8" s="73"/>
      <c r="P8" s="16"/>
      <c r="Q8" s="16"/>
      <c r="R8" s="10"/>
      <c r="S8" s="10"/>
      <c r="T8" s="71"/>
    </row>
    <row r="9" spans="1:38" ht="15.75" customHeight="1">
      <c r="A9" s="24"/>
      <c r="B9" s="44"/>
      <c r="C9" s="25"/>
      <c r="D9" s="10"/>
      <c r="E9" s="10"/>
      <c r="F9" s="11"/>
      <c r="H9" s="26"/>
      <c r="I9" s="17" t="s">
        <v>111</v>
      </c>
      <c r="J9" s="5">
        <v>21.3</v>
      </c>
      <c r="K9" s="18" t="s">
        <v>112</v>
      </c>
      <c r="L9" s="18"/>
      <c r="M9" s="6"/>
      <c r="O9" s="26"/>
      <c r="P9" s="17"/>
      <c r="Q9" s="18"/>
      <c r="R9" s="5"/>
      <c r="S9" s="18"/>
      <c r="T9" s="6"/>
    </row>
    <row r="10" spans="1:38" ht="15.75" customHeight="1">
      <c r="A10" s="24"/>
      <c r="B10" s="44" t="s">
        <v>113</v>
      </c>
      <c r="C10" s="25"/>
      <c r="D10" s="10"/>
      <c r="E10" s="10"/>
      <c r="F10" s="11"/>
      <c r="H10" s="26"/>
      <c r="I10" s="17" t="s">
        <v>114</v>
      </c>
      <c r="J10" s="5">
        <v>157.9</v>
      </c>
      <c r="K10" s="18" t="s">
        <v>112</v>
      </c>
      <c r="L10" s="5"/>
      <c r="M10" s="6"/>
      <c r="O10" s="74"/>
      <c r="P10" s="17" t="s">
        <v>111</v>
      </c>
      <c r="Q10" s="5">
        <v>10.6</v>
      </c>
      <c r="R10" s="18"/>
      <c r="S10" s="5"/>
      <c r="T10" s="6"/>
    </row>
    <row r="11" spans="1:38" ht="15.75" customHeight="1" thickBot="1">
      <c r="A11" s="24"/>
      <c r="B11" s="44"/>
      <c r="C11" s="25"/>
      <c r="D11" s="10"/>
      <c r="E11" s="10"/>
      <c r="F11" s="11"/>
      <c r="H11" s="26" t="s">
        <v>115</v>
      </c>
      <c r="I11" s="5" t="s">
        <v>116</v>
      </c>
      <c r="J11" s="5">
        <f>C22/C18</f>
        <v>0.11646311431143115</v>
      </c>
      <c r="K11" s="5" t="s">
        <v>117</v>
      </c>
      <c r="L11" s="5"/>
      <c r="M11" s="6"/>
      <c r="O11" s="74"/>
      <c r="P11" s="17"/>
      <c r="Q11" s="5"/>
      <c r="R11" s="18"/>
      <c r="S11" s="5"/>
      <c r="T11" s="6"/>
    </row>
    <row r="12" spans="1:38" ht="15.75" customHeight="1" thickBot="1">
      <c r="A12" s="24"/>
      <c r="B12" s="44"/>
      <c r="C12" s="25"/>
      <c r="D12" s="10"/>
      <c r="E12" s="10"/>
      <c r="F12" s="11"/>
      <c r="H12" s="27"/>
      <c r="I12" s="5"/>
      <c r="J12" s="5"/>
      <c r="K12" s="5"/>
      <c r="L12" s="5"/>
      <c r="M12" s="6"/>
      <c r="O12" s="75"/>
      <c r="P12" s="55" t="s">
        <v>118</v>
      </c>
      <c r="Q12" s="58">
        <f>Q10*0.6</f>
        <v>6.3599999999999994</v>
      </c>
      <c r="R12" s="59" t="s">
        <v>119</v>
      </c>
      <c r="S12" s="60"/>
      <c r="T12" s="6"/>
    </row>
    <row r="13" spans="1:38" ht="15.75" customHeight="1" thickBot="1">
      <c r="A13" s="24"/>
      <c r="B13" s="44"/>
      <c r="C13" s="25"/>
      <c r="D13" s="10"/>
      <c r="E13" s="10"/>
      <c r="F13" s="11"/>
      <c r="H13" s="27"/>
      <c r="I13" s="5" t="s">
        <v>118</v>
      </c>
      <c r="J13" s="19">
        <f>(J9+J10*J11)/100</f>
        <v>0.39689525749774979</v>
      </c>
      <c r="K13" s="5" t="s">
        <v>120</v>
      </c>
      <c r="L13" s="5"/>
      <c r="M13" s="6"/>
      <c r="O13" s="77"/>
      <c r="P13" s="54"/>
      <c r="Q13" s="54"/>
      <c r="R13" s="54"/>
      <c r="S13" s="54"/>
      <c r="T13" s="45"/>
    </row>
    <row r="14" spans="1:38" ht="21.75" customHeight="1" thickBot="1">
      <c r="A14" s="24"/>
      <c r="B14" s="10"/>
      <c r="C14" s="10"/>
      <c r="D14" s="10"/>
      <c r="E14" s="10"/>
      <c r="F14" s="11"/>
      <c r="G14" s="29"/>
      <c r="H14" s="42"/>
      <c r="I14" s="55" t="s">
        <v>118</v>
      </c>
      <c r="J14" s="76">
        <f>J13*100*0.6</f>
        <v>23.813715449864986</v>
      </c>
      <c r="K14" s="59" t="s">
        <v>119</v>
      </c>
      <c r="L14" s="60"/>
      <c r="M14" s="6"/>
      <c r="N14" s="29"/>
      <c r="O14" s="66" t="s">
        <v>121</v>
      </c>
      <c r="P14" s="67" t="s">
        <v>108</v>
      </c>
      <c r="Q14" s="25"/>
      <c r="R14" s="10"/>
      <c r="S14" s="10"/>
      <c r="T14" s="11"/>
    </row>
    <row r="15" spans="1:38" ht="15.75" customHeight="1" thickBot="1">
      <c r="A15" s="46"/>
      <c r="B15" s="47"/>
      <c r="C15" s="28"/>
      <c r="D15" s="5"/>
      <c r="E15" s="5"/>
      <c r="F15" s="6"/>
      <c r="H15" s="56"/>
      <c r="I15" s="57"/>
      <c r="J15" s="57"/>
      <c r="K15" s="57"/>
      <c r="L15" s="57"/>
      <c r="M15" s="21"/>
      <c r="O15" s="66"/>
      <c r="P15" s="78" t="s">
        <v>122</v>
      </c>
      <c r="Q15" s="10"/>
      <c r="R15" s="10"/>
      <c r="S15" s="130" t="s">
        <v>123</v>
      </c>
      <c r="T15" s="11"/>
    </row>
    <row r="16" spans="1:38" ht="15.75" customHeight="1" thickBot="1">
      <c r="A16" s="74" t="s">
        <v>124</v>
      </c>
      <c r="B16" s="17" t="s">
        <v>125</v>
      </c>
      <c r="C16" s="313">
        <f>'HOGSTMASKIN (G0)'!C16</f>
        <v>18</v>
      </c>
      <c r="D16" s="5" t="s">
        <v>126</v>
      </c>
      <c r="E16" s="5"/>
      <c r="F16" s="6"/>
      <c r="H16" s="23"/>
      <c r="I16" s="23"/>
      <c r="J16" s="23"/>
      <c r="K16" s="23"/>
      <c r="L16" s="23"/>
      <c r="M16" s="23"/>
      <c r="O16" s="73"/>
      <c r="P16" s="16"/>
      <c r="Q16" s="16"/>
      <c r="R16" s="10"/>
      <c r="S16" s="10"/>
      <c r="T16" s="71"/>
    </row>
    <row r="17" spans="1:38" ht="15.75" customHeight="1" thickBot="1">
      <c r="A17" s="74" t="s">
        <v>127</v>
      </c>
      <c r="B17" s="17" t="s">
        <v>128</v>
      </c>
      <c r="C17" s="313">
        <f>'HOGSTMASKIN (G0)'!C17</f>
        <v>31</v>
      </c>
      <c r="D17" s="5" t="s">
        <v>129</v>
      </c>
      <c r="E17" s="5"/>
      <c r="F17" s="6"/>
      <c r="H17" s="627" t="s">
        <v>130</v>
      </c>
      <c r="I17" s="629" t="s">
        <v>131</v>
      </c>
      <c r="J17" s="9"/>
      <c r="K17" s="7"/>
      <c r="L17" s="7"/>
      <c r="M17" s="8"/>
      <c r="O17" s="27"/>
      <c r="P17" s="5"/>
      <c r="Q17" s="5"/>
      <c r="R17" s="5"/>
      <c r="S17" s="5"/>
      <c r="T17" s="6"/>
    </row>
    <row r="18" spans="1:38" ht="15.75" customHeight="1" thickBot="1">
      <c r="A18" s="74" t="s">
        <v>132</v>
      </c>
      <c r="B18" s="5" t="s">
        <v>133</v>
      </c>
      <c r="C18" s="313">
        <f>'FS 2'!E23*'FS 2'!E31</f>
        <v>77.769999999999982</v>
      </c>
      <c r="D18" s="5" t="s">
        <v>134</v>
      </c>
      <c r="E18" s="5"/>
      <c r="F18" s="6"/>
      <c r="H18" s="628"/>
      <c r="I18" s="630"/>
      <c r="J18" s="10"/>
      <c r="K18" s="10"/>
      <c r="L18" s="130" t="s">
        <v>109</v>
      </c>
      <c r="M18" s="11"/>
      <c r="O18" s="26"/>
      <c r="P18" s="17" t="s">
        <v>135</v>
      </c>
      <c r="Q18" s="5">
        <v>1.8</v>
      </c>
      <c r="R18" s="5"/>
      <c r="S18" s="18"/>
      <c r="T18" s="6"/>
    </row>
    <row r="19" spans="1:38" ht="15.75" customHeight="1" thickBot="1">
      <c r="A19" s="74" t="s">
        <v>136</v>
      </c>
      <c r="B19" s="5" t="s">
        <v>137</v>
      </c>
      <c r="C19" s="313">
        <f>'HOGSTMASKIN (G0)'!C19</f>
        <v>2</v>
      </c>
      <c r="D19" s="265" t="s">
        <v>138</v>
      </c>
      <c r="E19" s="265"/>
      <c r="F19" s="6"/>
      <c r="H19" s="53"/>
      <c r="I19" s="16"/>
      <c r="J19" s="16"/>
      <c r="K19" s="10"/>
      <c r="L19" s="10"/>
      <c r="M19" s="71"/>
      <c r="O19" s="74" t="s">
        <v>132</v>
      </c>
      <c r="P19" s="5" t="s">
        <v>139</v>
      </c>
      <c r="Q19" s="5">
        <f>C18</f>
        <v>77.769999999999982</v>
      </c>
      <c r="R19" s="5" t="s">
        <v>140</v>
      </c>
      <c r="S19" s="18"/>
      <c r="T19" s="6"/>
    </row>
    <row r="20" spans="1:38" ht="15.75" customHeight="1" thickBot="1">
      <c r="A20" s="74" t="s">
        <v>141</v>
      </c>
      <c r="B20" s="5" t="s">
        <v>142</v>
      </c>
      <c r="C20" s="313">
        <f>'HOGSTMASKIN (G0)'!C20</f>
        <v>2</v>
      </c>
      <c r="D20" s="18" t="s">
        <v>138</v>
      </c>
      <c r="E20" s="18"/>
      <c r="F20" s="6"/>
      <c r="H20" s="26"/>
      <c r="I20" s="17"/>
      <c r="J20" s="18"/>
      <c r="K20" s="5"/>
      <c r="L20" s="18"/>
      <c r="M20" s="6"/>
      <c r="O20" s="74" t="s">
        <v>143</v>
      </c>
      <c r="P20" s="17" t="s">
        <v>144</v>
      </c>
      <c r="Q20" s="315">
        <f>'HOGSTMASKIN (G0)'!Q20</f>
        <v>0</v>
      </c>
      <c r="R20" s="5" t="s">
        <v>140</v>
      </c>
      <c r="S20" s="5"/>
      <c r="T20" s="6"/>
    </row>
    <row r="21" spans="1:38" ht="15.75" customHeight="1" thickBot="1">
      <c r="A21" s="74" t="s">
        <v>145</v>
      </c>
      <c r="B21" s="5" t="s">
        <v>146</v>
      </c>
      <c r="C21" s="5">
        <f>C17*(1+(5/C18)-(0.1*C19)-(0.1*C20))</f>
        <v>20.593056448501997</v>
      </c>
      <c r="D21" s="5" t="s">
        <v>129</v>
      </c>
      <c r="E21" s="5"/>
      <c r="F21" s="6"/>
      <c r="H21" s="26"/>
      <c r="I21" s="17"/>
      <c r="J21" s="5"/>
      <c r="K21" s="5"/>
      <c r="L21" s="18"/>
      <c r="M21" s="6"/>
      <c r="O21" s="27"/>
      <c r="P21" s="5"/>
      <c r="Q21" s="5"/>
      <c r="R21" s="5"/>
      <c r="S21" s="5"/>
      <c r="T21" s="6"/>
    </row>
    <row r="22" spans="1:38" ht="19.5" thickBot="1">
      <c r="A22" s="26"/>
      <c r="B22" s="5" t="s">
        <v>147</v>
      </c>
      <c r="C22" s="313">
        <f>'FS 2'!E23</f>
        <v>9.0573363999999987</v>
      </c>
      <c r="D22" s="5" t="s">
        <v>148</v>
      </c>
      <c r="E22" s="5"/>
      <c r="F22" s="6"/>
      <c r="H22" s="26"/>
      <c r="I22" s="17" t="s">
        <v>149</v>
      </c>
      <c r="J22" s="314">
        <f>'HOGSTMASKIN (G0)'!J22</f>
        <v>1.1666666666666667</v>
      </c>
      <c r="K22" s="18" t="s">
        <v>150</v>
      </c>
      <c r="L22" s="5"/>
      <c r="M22" s="6"/>
      <c r="O22" s="27"/>
      <c r="P22" s="55" t="s">
        <v>118</v>
      </c>
      <c r="Q22" s="58">
        <f>(Q20*Q18/Q19)*0.6</f>
        <v>0</v>
      </c>
      <c r="R22" s="59" t="s">
        <v>119</v>
      </c>
      <c r="S22" s="60"/>
      <c r="T22" s="6"/>
    </row>
    <row r="23" spans="1:38" ht="16.5" thickBot="1">
      <c r="A23" s="27"/>
      <c r="B23" s="5" t="s">
        <v>116</v>
      </c>
      <c r="C23" s="5">
        <f>C22/C18</f>
        <v>0.11646311431143115</v>
      </c>
      <c r="D23" s="5" t="s">
        <v>151</v>
      </c>
      <c r="E23" s="5"/>
      <c r="F23" s="6"/>
      <c r="H23" s="26"/>
      <c r="I23" s="18"/>
      <c r="J23" s="18"/>
      <c r="K23" s="18"/>
      <c r="L23" s="5"/>
      <c r="M23" s="6"/>
      <c r="O23" s="68"/>
      <c r="P23" s="69"/>
      <c r="Q23" s="20"/>
      <c r="R23" s="20"/>
      <c r="S23" s="20"/>
      <c r="T23" s="70"/>
    </row>
    <row r="24" spans="1:38" ht="11.25" customHeight="1">
      <c r="A24" s="27"/>
      <c r="B24" s="5"/>
      <c r="C24" s="5"/>
      <c r="D24" s="5"/>
      <c r="E24" s="5"/>
      <c r="F24" s="6"/>
      <c r="H24" s="26"/>
      <c r="I24" s="5"/>
      <c r="J24" s="5"/>
      <c r="K24" s="5"/>
      <c r="L24" s="5"/>
      <c r="M24" s="6"/>
      <c r="O24" s="23"/>
      <c r="P24" s="23"/>
      <c r="Q24" s="23"/>
      <c r="R24" s="23"/>
      <c r="S24" s="23"/>
      <c r="T24" s="23"/>
    </row>
    <row r="25" spans="1:38" ht="19.149999999999999" customHeight="1" thickBot="1">
      <c r="A25" s="27"/>
      <c r="B25" s="5" t="s">
        <v>118</v>
      </c>
      <c r="C25" s="19">
        <f>1000/(C16*C21*C18)</f>
        <v>3.468922409779919E-2</v>
      </c>
      <c r="D25" s="5" t="s">
        <v>120</v>
      </c>
      <c r="E25" s="5"/>
      <c r="F25" s="6"/>
      <c r="H25" s="27"/>
      <c r="I25" s="5"/>
      <c r="J25" s="5"/>
      <c r="K25" s="5"/>
      <c r="L25" s="5"/>
      <c r="M25" s="6"/>
      <c r="O25" s="23"/>
      <c r="P25" s="23"/>
      <c r="Q25" s="23"/>
      <c r="R25" s="23"/>
      <c r="S25" s="23"/>
      <c r="T25" s="23"/>
    </row>
    <row r="26" spans="1:38" ht="25.5" customHeight="1" thickBot="1">
      <c r="A26" s="42"/>
      <c r="B26" s="55" t="s">
        <v>118</v>
      </c>
      <c r="C26" s="58">
        <f>C25*100*0.6</f>
        <v>2.0813534458679515</v>
      </c>
      <c r="D26" s="59" t="s">
        <v>119</v>
      </c>
      <c r="E26" s="60"/>
      <c r="F26" s="6"/>
      <c r="H26" s="27"/>
      <c r="I26" s="55" t="s">
        <v>118</v>
      </c>
      <c r="J26" s="58">
        <f>J22</f>
        <v>1.1666666666666667</v>
      </c>
      <c r="K26" s="59" t="s">
        <v>119</v>
      </c>
      <c r="L26" s="60"/>
      <c r="M26" s="6"/>
      <c r="O26" s="23"/>
      <c r="P26" s="23"/>
      <c r="Q26" s="23"/>
      <c r="R26" s="23"/>
      <c r="S26" s="23"/>
      <c r="T26" s="23"/>
    </row>
    <row r="27" spans="1:38" s="12" customFormat="1" ht="12.75" customHeight="1" thickBot="1">
      <c r="A27" s="72"/>
      <c r="B27" s="69"/>
      <c r="C27" s="69"/>
      <c r="D27" s="69"/>
      <c r="E27" s="69"/>
      <c r="F27" s="70"/>
      <c r="G27" s="43"/>
      <c r="H27" s="68"/>
      <c r="I27" s="69"/>
      <c r="J27" s="20"/>
      <c r="K27" s="20"/>
      <c r="L27" s="20"/>
      <c r="M27" s="70"/>
      <c r="N27" s="43"/>
      <c r="O27" s="23"/>
      <c r="P27" s="23"/>
      <c r="Q27" s="23"/>
      <c r="R27" s="23"/>
      <c r="S27" s="23"/>
      <c r="T27" s="23"/>
      <c r="U27" s="81"/>
      <c r="V27" s="81"/>
      <c r="W27" s="81"/>
      <c r="X27" s="81"/>
      <c r="Y27" s="81"/>
      <c r="Z27" s="81"/>
      <c r="AA27" s="81"/>
      <c r="AB27" s="81"/>
      <c r="AC27" s="81"/>
      <c r="AD27" s="81"/>
      <c r="AE27" s="81"/>
      <c r="AF27" s="81"/>
      <c r="AG27" s="81"/>
      <c r="AH27" s="81"/>
      <c r="AI27" s="81"/>
      <c r="AJ27" s="81"/>
      <c r="AK27" s="81"/>
      <c r="AL27" s="81"/>
    </row>
    <row r="28" spans="1:38" ht="14.25" customHeight="1">
      <c r="A28" s="23"/>
      <c r="B28" s="23"/>
      <c r="C28" s="23"/>
      <c r="D28" s="23"/>
      <c r="E28" s="23"/>
      <c r="F28" s="23"/>
      <c r="G28" s="23"/>
      <c r="H28" s="23"/>
      <c r="I28" s="23"/>
      <c r="J28" s="23"/>
      <c r="K28" s="23"/>
      <c r="L28" s="23"/>
      <c r="M28" s="23"/>
      <c r="N28" s="23"/>
      <c r="O28" s="23"/>
      <c r="P28" s="23"/>
      <c r="Q28" s="23"/>
      <c r="R28" s="23"/>
      <c r="S28" s="23"/>
      <c r="T28" s="23"/>
    </row>
    <row r="29" spans="1:38" ht="27.95" customHeight="1">
      <c r="A29" s="23"/>
      <c r="B29" s="23"/>
      <c r="C29" s="23"/>
      <c r="D29" s="23"/>
      <c r="E29" s="23"/>
      <c r="F29" s="23"/>
      <c r="G29" s="23"/>
      <c r="H29" s="23"/>
      <c r="I29" s="23"/>
      <c r="J29" s="23"/>
      <c r="K29" s="23"/>
      <c r="L29" s="23"/>
      <c r="M29" s="23"/>
      <c r="N29" s="23"/>
      <c r="O29" s="23"/>
      <c r="P29" s="23"/>
      <c r="Q29" s="23"/>
      <c r="R29" s="23"/>
      <c r="S29" s="23"/>
      <c r="T29" s="23"/>
    </row>
    <row r="30" spans="1:38" ht="15.75" customHeight="1">
      <c r="A30" s="23"/>
      <c r="B30" s="23"/>
      <c r="C30" s="23"/>
      <c r="D30" s="23"/>
      <c r="E30" s="23"/>
      <c r="F30" s="23"/>
      <c r="G30" s="23"/>
      <c r="H30" s="23"/>
      <c r="I30" s="23"/>
      <c r="J30" s="23"/>
      <c r="K30" s="23"/>
      <c r="L30" s="23"/>
      <c r="M30" s="23"/>
      <c r="N30" s="23"/>
      <c r="O30" s="23"/>
      <c r="P30" s="23"/>
      <c r="Q30" s="23"/>
      <c r="R30" s="23"/>
      <c r="S30" s="23"/>
      <c r="T30" s="23"/>
    </row>
    <row r="31" spans="1:38">
      <c r="A31" s="23"/>
      <c r="B31" s="23"/>
      <c r="C31" s="23"/>
      <c r="D31" s="23"/>
      <c r="E31" s="23"/>
      <c r="F31" s="23"/>
      <c r="G31" s="23"/>
      <c r="H31" s="23"/>
      <c r="I31" s="23"/>
      <c r="J31" s="23"/>
      <c r="K31" s="23"/>
      <c r="L31" s="23"/>
      <c r="M31" s="23"/>
      <c r="N31" s="23"/>
      <c r="O31" s="23"/>
      <c r="P31" s="23"/>
      <c r="Q31" s="23"/>
      <c r="R31" s="23"/>
      <c r="S31" s="23"/>
      <c r="T31" s="23"/>
    </row>
    <row r="32" spans="1:38" ht="15.75" customHeight="1">
      <c r="A32" s="23"/>
      <c r="B32" s="23"/>
      <c r="C32" s="23"/>
      <c r="D32" s="23"/>
      <c r="E32" s="23"/>
      <c r="F32" s="23"/>
      <c r="G32" s="23"/>
      <c r="H32" s="23"/>
      <c r="I32" s="23"/>
      <c r="J32" s="23"/>
      <c r="K32" s="23"/>
      <c r="L32" s="23"/>
      <c r="M32" s="23"/>
      <c r="N32" s="23"/>
      <c r="O32" s="23"/>
      <c r="P32" s="23"/>
      <c r="Q32" s="23"/>
      <c r="R32" s="23"/>
      <c r="S32" s="23"/>
      <c r="T32" s="23"/>
    </row>
    <row r="33" spans="1:38">
      <c r="A33" s="23"/>
      <c r="B33" s="23"/>
      <c r="C33" s="23"/>
      <c r="D33" s="23"/>
      <c r="E33" s="23"/>
      <c r="F33" s="23"/>
      <c r="G33" s="23"/>
      <c r="H33" s="23"/>
      <c r="I33" s="23"/>
      <c r="J33" s="23"/>
      <c r="K33" s="23"/>
      <c r="L33" s="23"/>
      <c r="M33" s="23"/>
      <c r="N33" s="23"/>
      <c r="O33" s="23"/>
      <c r="P33" s="23"/>
      <c r="Q33" s="23"/>
      <c r="R33" s="23"/>
      <c r="S33" s="23"/>
      <c r="T33" s="23"/>
    </row>
    <row r="34" spans="1:38" ht="15.75" customHeight="1">
      <c r="A34" s="23"/>
      <c r="B34" s="23"/>
      <c r="C34" s="23"/>
      <c r="D34" s="23"/>
      <c r="E34" s="23"/>
      <c r="F34" s="23"/>
      <c r="G34" s="23"/>
      <c r="H34" s="23"/>
      <c r="I34" s="23"/>
      <c r="J34" s="23"/>
      <c r="K34" s="23"/>
      <c r="L34" s="23"/>
      <c r="M34" s="23"/>
      <c r="N34" s="23"/>
      <c r="O34" s="23"/>
      <c r="P34" s="23"/>
      <c r="Q34" s="23"/>
      <c r="R34" s="23"/>
      <c r="S34" s="23"/>
      <c r="T34" s="23"/>
    </row>
    <row r="35" spans="1:38">
      <c r="A35" s="23"/>
      <c r="B35" s="23"/>
      <c r="C35" s="23"/>
      <c r="D35" s="23"/>
      <c r="E35" s="23"/>
      <c r="F35" s="23"/>
      <c r="G35" s="23"/>
      <c r="H35" s="23"/>
      <c r="I35" s="23"/>
      <c r="J35" s="23"/>
      <c r="K35" s="23"/>
      <c r="L35" s="23"/>
      <c r="M35" s="23"/>
      <c r="N35" s="23"/>
      <c r="O35" s="23"/>
      <c r="P35" s="23"/>
      <c r="Q35" s="23"/>
      <c r="R35" s="23"/>
      <c r="S35" s="23"/>
      <c r="T35" s="23"/>
    </row>
    <row r="36" spans="1:38">
      <c r="A36" s="23"/>
      <c r="B36" s="23"/>
      <c r="C36" s="23"/>
      <c r="D36" s="23"/>
      <c r="E36" s="23"/>
      <c r="F36" s="23"/>
      <c r="G36" s="23"/>
      <c r="H36" s="23"/>
      <c r="I36" s="23"/>
      <c r="J36" s="23"/>
      <c r="K36" s="23"/>
      <c r="L36" s="23"/>
      <c r="M36" s="23"/>
      <c r="N36" s="23"/>
      <c r="O36" s="23"/>
      <c r="P36" s="23"/>
      <c r="Q36" s="23"/>
      <c r="R36" s="23"/>
      <c r="S36" s="23"/>
      <c r="T36" s="23"/>
    </row>
    <row r="37" spans="1:38">
      <c r="A37" s="23"/>
      <c r="B37" s="23"/>
      <c r="C37" s="23"/>
      <c r="D37" s="23"/>
      <c r="E37" s="23"/>
      <c r="F37" s="23"/>
      <c r="G37" s="23"/>
      <c r="H37" s="23"/>
      <c r="I37" s="23"/>
      <c r="J37" s="23"/>
      <c r="K37" s="23"/>
      <c r="L37" s="23"/>
      <c r="M37" s="23"/>
      <c r="N37" s="23"/>
      <c r="O37" s="23"/>
      <c r="P37" s="23"/>
      <c r="Q37" s="23"/>
      <c r="R37" s="23"/>
      <c r="S37" s="23"/>
      <c r="T37" s="23"/>
    </row>
    <row r="38" spans="1:38">
      <c r="A38" s="23"/>
      <c r="B38" s="23"/>
      <c r="C38" s="23"/>
      <c r="D38" s="23"/>
      <c r="E38" s="23"/>
      <c r="F38" s="23"/>
      <c r="G38" s="23"/>
      <c r="H38" s="23"/>
      <c r="I38" s="23"/>
      <c r="J38" s="23"/>
      <c r="K38" s="23"/>
      <c r="L38" s="23"/>
      <c r="M38" s="23"/>
      <c r="N38" s="23"/>
      <c r="O38" s="23"/>
      <c r="P38" s="23"/>
      <c r="Q38" s="23"/>
      <c r="R38" s="23"/>
      <c r="S38" s="23"/>
      <c r="T38" s="23"/>
    </row>
    <row r="39" spans="1:38">
      <c r="A39" s="23"/>
      <c r="B39" s="23"/>
      <c r="C39" s="23"/>
      <c r="D39" s="23"/>
      <c r="E39" s="23"/>
      <c r="F39" s="23"/>
      <c r="G39" s="23"/>
      <c r="H39" s="23"/>
      <c r="I39" s="23"/>
      <c r="J39" s="23"/>
      <c r="K39" s="23"/>
      <c r="L39" s="23"/>
      <c r="M39" s="23"/>
      <c r="N39" s="23"/>
      <c r="O39" s="23"/>
      <c r="P39" s="23"/>
      <c r="Q39" s="23"/>
      <c r="R39" s="23"/>
      <c r="S39" s="23"/>
      <c r="T39" s="23"/>
    </row>
    <row r="40" spans="1:38">
      <c r="A40" s="23"/>
      <c r="B40" s="23"/>
      <c r="C40" s="23"/>
      <c r="D40" s="23"/>
      <c r="E40" s="23"/>
      <c r="F40" s="23"/>
      <c r="G40" s="23"/>
      <c r="H40" s="23"/>
      <c r="I40" s="23"/>
      <c r="J40" s="23"/>
      <c r="K40" s="23"/>
      <c r="L40" s="23"/>
      <c r="M40" s="23"/>
      <c r="N40" s="23"/>
      <c r="O40" s="23"/>
      <c r="P40" s="23"/>
      <c r="Q40" s="23"/>
      <c r="R40" s="23"/>
      <c r="S40" s="23"/>
      <c r="T40" s="23"/>
    </row>
    <row r="41" spans="1:38">
      <c r="A41" s="23"/>
      <c r="B41" s="23"/>
      <c r="C41" s="23"/>
      <c r="D41" s="23"/>
      <c r="E41" s="23"/>
      <c r="F41" s="23"/>
      <c r="G41" s="23"/>
      <c r="H41" s="23"/>
      <c r="I41" s="23"/>
      <c r="J41" s="23"/>
      <c r="K41" s="23"/>
      <c r="L41" s="23"/>
      <c r="M41" s="23"/>
      <c r="N41" s="23"/>
      <c r="O41" s="23"/>
      <c r="P41" s="23"/>
      <c r="Q41" s="23"/>
      <c r="R41" s="23"/>
      <c r="S41" s="23"/>
      <c r="T41" s="23"/>
    </row>
    <row r="42" spans="1:38">
      <c r="A42" s="23"/>
      <c r="B42" s="23"/>
      <c r="C42" s="23"/>
      <c r="D42" s="23"/>
      <c r="E42" s="23"/>
      <c r="F42" s="23"/>
      <c r="G42" s="23"/>
      <c r="H42" s="23"/>
      <c r="I42" s="23"/>
      <c r="J42" s="23"/>
      <c r="K42" s="23"/>
      <c r="L42" s="23"/>
      <c r="M42" s="23"/>
      <c r="N42" s="23"/>
      <c r="O42" s="23"/>
      <c r="P42" s="23"/>
      <c r="Q42" s="23"/>
      <c r="R42" s="23"/>
      <c r="S42" s="23"/>
      <c r="T42" s="23"/>
    </row>
    <row r="43" spans="1:38">
      <c r="A43" s="23"/>
      <c r="B43" s="23"/>
      <c r="C43" s="23"/>
      <c r="D43" s="23"/>
      <c r="E43" s="23"/>
      <c r="F43" s="23"/>
      <c r="G43" s="23"/>
      <c r="H43" s="23"/>
      <c r="I43" s="23"/>
      <c r="J43" s="23"/>
      <c r="K43" s="23"/>
      <c r="L43" s="23"/>
      <c r="M43" s="23"/>
      <c r="N43" s="23"/>
      <c r="O43" s="23"/>
      <c r="P43" s="23"/>
      <c r="Q43" s="23"/>
      <c r="R43" s="23"/>
      <c r="S43" s="23"/>
      <c r="T43" s="23"/>
    </row>
    <row r="44" spans="1:38" ht="15.75" customHeight="1">
      <c r="A44" s="23"/>
      <c r="B44" s="23"/>
      <c r="C44" s="23"/>
      <c r="D44" s="23"/>
      <c r="E44" s="23"/>
      <c r="F44" s="23"/>
      <c r="G44" s="23"/>
      <c r="H44" s="23"/>
      <c r="I44" s="23"/>
      <c r="J44" s="23"/>
      <c r="K44" s="23"/>
      <c r="L44" s="23"/>
      <c r="M44" s="23"/>
      <c r="N44" s="23"/>
      <c r="O44" s="23"/>
      <c r="P44" s="23"/>
      <c r="Q44" s="23"/>
      <c r="R44" s="23"/>
      <c r="S44" s="23"/>
      <c r="T44" s="23"/>
    </row>
    <row r="45" spans="1:38">
      <c r="A45" s="23"/>
      <c r="B45" s="23"/>
      <c r="C45" s="23"/>
      <c r="D45" s="23"/>
      <c r="E45" s="23"/>
      <c r="F45" s="23"/>
      <c r="G45" s="23"/>
      <c r="H45" s="23"/>
      <c r="I45" s="23"/>
      <c r="J45" s="23"/>
      <c r="K45" s="23"/>
      <c r="L45" s="23"/>
      <c r="M45" s="23"/>
      <c r="N45" s="23"/>
      <c r="O45" s="23"/>
      <c r="P45" s="23"/>
      <c r="Q45" s="23"/>
      <c r="R45" s="23"/>
      <c r="S45" s="23"/>
      <c r="T45" s="23"/>
    </row>
    <row r="46" spans="1:38" s="2" customFormat="1"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s="23" customFormat="1"/>
    <row r="48" spans="1:3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pans="8:14" s="23" customFormat="1"/>
    <row r="66" spans="8:14" s="23" customFormat="1"/>
    <row r="67" spans="8:14" s="23" customFormat="1"/>
    <row r="68" spans="8:14" s="23" customFormat="1"/>
    <row r="69" spans="8:14" s="23" customFormat="1"/>
    <row r="70" spans="8:14" s="23" customFormat="1"/>
    <row r="71" spans="8:14" s="23" customFormat="1"/>
    <row r="72" spans="8:14" s="23" customFormat="1"/>
    <row r="73" spans="8:14" s="23" customFormat="1"/>
    <row r="74" spans="8:14" s="23" customFormat="1"/>
    <row r="75" spans="8:14" s="23" customFormat="1"/>
    <row r="76" spans="8:14" s="23" customFormat="1"/>
    <row r="77" spans="8:14" s="23" customFormat="1"/>
    <row r="78" spans="8:14" s="23" customFormat="1"/>
    <row r="79" spans="8:14">
      <c r="H79" s="23"/>
      <c r="I79" s="23"/>
      <c r="J79" s="23"/>
      <c r="K79" s="23"/>
      <c r="L79" s="23"/>
      <c r="M79" s="23"/>
      <c r="N79" s="23"/>
    </row>
    <row r="80" spans="8:14">
      <c r="H80" s="23"/>
      <c r="I80" s="23"/>
      <c r="J80" s="23"/>
      <c r="K80" s="23"/>
      <c r="L80" s="23"/>
      <c r="M80" s="23"/>
      <c r="N80" s="23"/>
    </row>
  </sheetData>
  <mergeCells count="2">
    <mergeCell ref="H17:H18"/>
    <mergeCell ref="I17:I18"/>
  </mergeCells>
  <dataValidations count="1">
    <dataValidation type="list" allowBlank="1" showInputMessage="1" showErrorMessage="1" sqref="J20 Q9" xr:uid="{00000000-0002-0000-0600-000000000000}">
      <formula1>$B$8:$B$12</formula1>
    </dataValidation>
  </dataValidations>
  <hyperlinks>
    <hyperlink ref="D19:E19" location="Hjelpetabeller!A1" display=" klasse fra tabell" xr:uid="{00000000-0004-0000-0600-000000000000}"/>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HJELPETABELLER!$J$7:$J$9</xm:f>
          </x14:formula1>
          <xm:sqref>J22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82"/>
  <sheetViews>
    <sheetView zoomScaleNormal="100" workbookViewId="0">
      <pane ySplit="4" topLeftCell="A8" activePane="bottomLeft" state="frozen"/>
      <selection pane="bottomLeft" activeCell="H14" sqref="H14"/>
      <selection activeCell="H14" sqref="H14"/>
    </sheetView>
  </sheetViews>
  <sheetFormatPr defaultColWidth="11.42578125" defaultRowHeight="15"/>
  <cols>
    <col min="1" max="1" width="2.85546875" style="23" customWidth="1"/>
    <col min="2" max="2" width="9" style="23" customWidth="1"/>
    <col min="3" max="3" width="26.28515625" style="23" customWidth="1"/>
    <col min="4" max="5" width="12.85546875" customWidth="1"/>
    <col min="6" max="6" width="12.7109375" customWidth="1"/>
    <col min="7" max="7" width="12.28515625" customWidth="1"/>
    <col min="8" max="9" width="11.7109375" style="23" customWidth="1"/>
    <col min="10" max="10" width="2.140625" style="23" customWidth="1"/>
    <col min="11" max="12" width="11.28515625" style="23"/>
    <col min="13" max="17" width="0" style="23" hidden="1" customWidth="1"/>
    <col min="18" max="20" width="0" hidden="1" customWidth="1"/>
    <col min="21" max="38" width="11"/>
  </cols>
  <sheetData>
    <row r="1" spans="1:50" s="301" customFormat="1" ht="13.7" customHeight="1"/>
    <row r="2" spans="1:50" s="301" customFormat="1" ht="13.7" customHeight="1"/>
    <row r="3" spans="1:50" s="301" customFormat="1" ht="13.7" customHeight="1"/>
    <row r="4" spans="1:50" s="23" customFormat="1" ht="42" customHeight="1">
      <c r="A4" s="302"/>
      <c r="B4" s="309" t="s">
        <v>152</v>
      </c>
      <c r="C4" s="302"/>
      <c r="D4" s="302"/>
      <c r="E4" s="302"/>
      <c r="F4" s="302"/>
      <c r="G4" s="302"/>
      <c r="H4" s="302"/>
      <c r="I4" s="302"/>
      <c r="J4" s="302"/>
      <c r="K4" s="303"/>
      <c r="L4" s="303"/>
      <c r="M4" s="170"/>
      <c r="N4" s="170"/>
      <c r="O4" s="170"/>
      <c r="P4" s="170"/>
      <c r="Q4" s="170"/>
      <c r="R4" s="170"/>
      <c r="S4" s="170"/>
      <c r="T4" s="170"/>
      <c r="U4" s="303"/>
      <c r="V4" s="303"/>
      <c r="W4" s="303"/>
      <c r="X4" s="303"/>
      <c r="Y4" s="303"/>
      <c r="Z4" s="303"/>
      <c r="AA4" s="303"/>
      <c r="AB4" s="303"/>
      <c r="AC4" s="303"/>
      <c r="AD4"/>
      <c r="AE4"/>
      <c r="AF4"/>
      <c r="AG4"/>
      <c r="AH4"/>
      <c r="AI4"/>
      <c r="AJ4"/>
      <c r="AK4"/>
      <c r="AL4"/>
    </row>
    <row r="5" spans="1:50" s="23" customFormat="1" ht="18" customHeight="1" thickBot="1">
      <c r="A5" s="303"/>
      <c r="B5" s="303"/>
      <c r="C5" s="303"/>
      <c r="D5" s="303"/>
      <c r="E5" s="303"/>
      <c r="F5" s="303"/>
      <c r="G5" s="303"/>
      <c r="H5" s="303"/>
      <c r="I5" s="303"/>
      <c r="J5" s="303"/>
      <c r="K5" s="304"/>
      <c r="L5" s="303"/>
      <c r="M5" s="170"/>
      <c r="N5" s="170"/>
      <c r="O5" s="170"/>
      <c r="P5" s="170"/>
      <c r="Q5" s="170"/>
      <c r="R5" s="170"/>
      <c r="S5" s="170"/>
      <c r="T5" s="170"/>
      <c r="U5" s="303"/>
      <c r="V5" s="303"/>
      <c r="W5" s="303"/>
      <c r="X5" s="303"/>
      <c r="Y5" s="303"/>
      <c r="Z5" s="303"/>
      <c r="AA5" s="303"/>
      <c r="AB5" s="303"/>
      <c r="AC5" s="303"/>
      <c r="AD5"/>
      <c r="AE5"/>
      <c r="AF5"/>
      <c r="AG5"/>
      <c r="AH5"/>
      <c r="AI5"/>
      <c r="AJ5"/>
      <c r="AK5"/>
      <c r="AL5"/>
    </row>
    <row r="6" spans="1:50" s="23" customFormat="1">
      <c r="A6" s="303"/>
      <c r="B6" s="303"/>
      <c r="C6" s="303"/>
      <c r="D6" s="641" t="s">
        <v>153</v>
      </c>
      <c r="E6" s="638"/>
      <c r="F6" s="637" t="s">
        <v>154</v>
      </c>
      <c r="G6" s="638"/>
      <c r="H6" s="631" t="s">
        <v>155</v>
      </c>
      <c r="I6" s="632"/>
      <c r="J6" s="303"/>
      <c r="K6" s="303"/>
      <c r="L6" s="303"/>
      <c r="M6" s="303"/>
      <c r="N6" s="303"/>
      <c r="O6" s="303"/>
      <c r="P6" s="303"/>
      <c r="Q6" s="303"/>
      <c r="R6" s="303"/>
      <c r="S6" s="303"/>
      <c r="T6" s="303"/>
      <c r="U6" s="303"/>
      <c r="V6" s="303"/>
      <c r="W6" s="303"/>
      <c r="X6" s="303"/>
      <c r="Y6" s="303"/>
      <c r="Z6" s="303"/>
      <c r="AA6" s="303"/>
      <c r="AB6" s="303"/>
      <c r="AC6" s="303"/>
      <c r="AD6"/>
      <c r="AE6"/>
      <c r="AF6"/>
      <c r="AG6"/>
      <c r="AH6"/>
      <c r="AI6"/>
      <c r="AJ6"/>
      <c r="AK6"/>
      <c r="AL6"/>
    </row>
    <row r="7" spans="1:50" s="23" customFormat="1">
      <c r="A7" s="303"/>
      <c r="B7" s="303"/>
      <c r="C7" s="303"/>
      <c r="D7" s="642"/>
      <c r="E7" s="643"/>
      <c r="F7" s="639"/>
      <c r="G7" s="640"/>
      <c r="H7" s="633"/>
      <c r="I7" s="634"/>
      <c r="J7" s="303"/>
      <c r="K7" s="303"/>
      <c r="L7" s="303"/>
      <c r="M7" s="303"/>
      <c r="N7" s="303"/>
      <c r="O7" s="303"/>
      <c r="P7" s="303"/>
      <c r="Q7" s="303"/>
      <c r="R7" s="303"/>
      <c r="S7" s="303"/>
      <c r="T7" s="303"/>
      <c r="U7" s="303"/>
      <c r="V7" s="303"/>
      <c r="W7" s="303"/>
      <c r="X7" s="303"/>
      <c r="Y7" s="303"/>
      <c r="Z7" s="303"/>
      <c r="AA7" s="303"/>
      <c r="AB7" s="303"/>
      <c r="AC7" s="303"/>
      <c r="AD7"/>
      <c r="AE7"/>
      <c r="AF7"/>
      <c r="AG7"/>
      <c r="AH7"/>
      <c r="AI7"/>
      <c r="AJ7"/>
      <c r="AK7"/>
      <c r="AL7"/>
    </row>
    <row r="8" spans="1:50" s="23" customFormat="1" ht="15" customHeight="1">
      <c r="A8" s="303"/>
      <c r="B8" s="303"/>
      <c r="C8" s="308"/>
      <c r="D8" s="166" t="s">
        <v>156</v>
      </c>
      <c r="E8" s="169" t="s">
        <v>157</v>
      </c>
      <c r="F8" s="635" t="s">
        <v>158</v>
      </c>
      <c r="G8" s="635" t="s">
        <v>159</v>
      </c>
      <c r="H8" s="633"/>
      <c r="I8" s="634"/>
      <c r="J8" s="303"/>
      <c r="K8" s="303"/>
      <c r="L8" s="303"/>
      <c r="M8" s="303"/>
      <c r="N8" s="303"/>
      <c r="O8" s="303"/>
      <c r="P8" s="303"/>
      <c r="Q8" s="303"/>
      <c r="R8" s="303"/>
      <c r="S8" s="303"/>
      <c r="T8" s="303"/>
      <c r="U8" s="303"/>
      <c r="V8" s="303"/>
      <c r="W8" s="303"/>
      <c r="X8" s="303"/>
      <c r="Y8" s="303"/>
      <c r="Z8" s="303"/>
      <c r="AA8" s="303"/>
      <c r="AB8" s="303"/>
      <c r="AC8" s="303"/>
      <c r="AD8"/>
      <c r="AE8"/>
      <c r="AF8"/>
      <c r="AG8"/>
      <c r="AH8"/>
      <c r="AI8"/>
      <c r="AJ8"/>
      <c r="AK8"/>
      <c r="AL8"/>
    </row>
    <row r="9" spans="1:50" s="81" customFormat="1" ht="22.7" customHeight="1" thickBot="1">
      <c r="A9" s="305"/>
      <c r="B9" s="305"/>
      <c r="C9" s="305"/>
      <c r="D9" s="167" t="s">
        <v>160</v>
      </c>
      <c r="E9" s="168" t="s">
        <v>161</v>
      </c>
      <c r="F9" s="636"/>
      <c r="G9" s="636"/>
      <c r="H9" s="184" t="s">
        <v>160</v>
      </c>
      <c r="I9" s="185" t="s">
        <v>161</v>
      </c>
      <c r="J9" s="305"/>
      <c r="K9" s="305"/>
      <c r="L9" s="303"/>
      <c r="M9" s="303"/>
      <c r="N9" s="303"/>
      <c r="O9" s="303"/>
      <c r="P9" s="303"/>
      <c r="Q9" s="303"/>
      <c r="R9" s="303"/>
      <c r="S9" s="303"/>
      <c r="T9" s="303"/>
      <c r="U9" s="305"/>
      <c r="V9" s="305"/>
      <c r="W9" s="305"/>
      <c r="X9" s="305"/>
      <c r="Y9" s="305"/>
      <c r="Z9" s="305"/>
      <c r="AA9" s="305"/>
      <c r="AB9" s="305"/>
      <c r="AC9" s="305"/>
      <c r="AD9" s="12"/>
      <c r="AE9" s="12"/>
      <c r="AF9" s="12"/>
      <c r="AG9" s="12"/>
      <c r="AH9" s="12"/>
      <c r="AI9" s="12"/>
      <c r="AJ9" s="12"/>
      <c r="AK9" s="12"/>
      <c r="AL9" s="12"/>
    </row>
    <row r="10" spans="1:50" ht="22.7" customHeight="1">
      <c r="A10" s="302"/>
      <c r="B10" s="645" t="s">
        <v>162</v>
      </c>
      <c r="C10" s="172" t="s">
        <v>163</v>
      </c>
      <c r="D10" s="144">
        <f>'HOGSTMASKIN (G0)'!C26</f>
        <v>1.8267622867118019</v>
      </c>
      <c r="E10" s="142"/>
      <c r="F10" s="174"/>
      <c r="G10" s="143"/>
      <c r="H10" s="147">
        <f>D10</f>
        <v>1.8267622867118019</v>
      </c>
      <c r="I10" s="150">
        <f>D10*F$12</f>
        <v>2.3747909727253425</v>
      </c>
      <c r="J10" s="302"/>
      <c r="K10" s="303"/>
      <c r="L10" s="303"/>
      <c r="M10" s="303"/>
      <c r="N10" s="303"/>
      <c r="O10" s="303"/>
      <c r="P10" s="303"/>
      <c r="Q10" s="303"/>
      <c r="R10" s="303"/>
      <c r="S10" s="303"/>
      <c r="T10" s="303"/>
      <c r="U10" s="303"/>
      <c r="V10" s="303"/>
      <c r="W10" s="303"/>
      <c r="X10" s="303"/>
      <c r="Y10" s="303"/>
      <c r="Z10" s="303"/>
      <c r="AA10" s="303"/>
      <c r="AB10" s="303"/>
      <c r="AC10" s="303"/>
    </row>
    <row r="11" spans="1:50" ht="22.7" customHeight="1">
      <c r="A11" s="303"/>
      <c r="B11" s="646"/>
      <c r="C11" s="173" t="s">
        <v>164</v>
      </c>
      <c r="D11" s="145">
        <f>'HOGSTMASKIN (G0)'!J14</f>
        <v>22.528749588236604</v>
      </c>
      <c r="E11" s="139"/>
      <c r="F11" s="152" t="s">
        <v>165</v>
      </c>
      <c r="G11" s="140"/>
      <c r="H11" s="148">
        <f>D11</f>
        <v>22.528749588236604</v>
      </c>
      <c r="I11" s="151">
        <f>D11*F$12</f>
        <v>29.287374464707586</v>
      </c>
      <c r="J11" s="303"/>
      <c r="K11" s="303"/>
      <c r="L11" s="303"/>
      <c r="M11" s="303"/>
      <c r="N11" s="303"/>
      <c r="O11" s="303"/>
      <c r="P11" s="303"/>
      <c r="Q11" s="303"/>
      <c r="R11" s="303"/>
      <c r="S11" s="303"/>
      <c r="T11" s="303"/>
      <c r="U11" s="303"/>
      <c r="V11" s="303"/>
      <c r="W11" s="303"/>
      <c r="X11" s="303"/>
      <c r="Y11" s="303"/>
      <c r="Z11" s="303"/>
      <c r="AA11" s="303"/>
      <c r="AB11" s="303"/>
      <c r="AC11" s="303"/>
    </row>
    <row r="12" spans="1:50" ht="22.7" customHeight="1">
      <c r="A12" s="303"/>
      <c r="B12" s="646"/>
      <c r="C12" s="173" t="s">
        <v>166</v>
      </c>
      <c r="D12" s="145">
        <f>'HOGSTMASKIN (G0)'!J26</f>
        <v>1.1666666666666667</v>
      </c>
      <c r="E12" s="139"/>
      <c r="F12" s="153">
        <v>1.3</v>
      </c>
      <c r="G12" s="140"/>
      <c r="H12" s="148">
        <f>D12</f>
        <v>1.1666666666666667</v>
      </c>
      <c r="I12" s="151">
        <f>D12*F$12</f>
        <v>1.5166666666666668</v>
      </c>
      <c r="J12" s="303"/>
      <c r="K12" s="303"/>
      <c r="L12" s="303"/>
      <c r="M12" s="303"/>
      <c r="N12" s="303"/>
      <c r="O12" s="303"/>
      <c r="P12" s="303"/>
      <c r="Q12" s="303"/>
      <c r="R12" s="303"/>
      <c r="S12" s="303"/>
      <c r="T12" s="303"/>
      <c r="U12" s="303"/>
      <c r="V12" s="303"/>
      <c r="W12" s="303"/>
      <c r="X12" s="303"/>
      <c r="Y12" s="303"/>
      <c r="Z12" s="303"/>
      <c r="AA12" s="303"/>
      <c r="AB12" s="303"/>
      <c r="AC12" s="303"/>
    </row>
    <row r="13" spans="1:50" ht="22.7" customHeight="1">
      <c r="A13" s="303"/>
      <c r="B13" s="646"/>
      <c r="C13" s="294" t="s">
        <v>167</v>
      </c>
      <c r="D13" s="295"/>
      <c r="E13" s="296"/>
      <c r="F13" s="297"/>
      <c r="G13" s="298"/>
      <c r="H13" s="299">
        <f>D13</f>
        <v>0</v>
      </c>
      <c r="I13" s="300">
        <f>D13*F$12</f>
        <v>0</v>
      </c>
      <c r="J13" s="303"/>
      <c r="K13" s="303"/>
      <c r="L13" s="303"/>
      <c r="M13" s="303"/>
      <c r="N13" s="303"/>
      <c r="O13" s="303"/>
      <c r="P13" s="303"/>
      <c r="Q13" s="303"/>
      <c r="R13" s="303"/>
      <c r="S13" s="303"/>
      <c r="T13" s="303"/>
      <c r="U13" s="303"/>
      <c r="V13" s="303"/>
      <c r="W13" s="303"/>
      <c r="X13" s="303"/>
      <c r="Y13" s="303"/>
      <c r="Z13" s="303"/>
      <c r="AA13" s="303"/>
      <c r="AB13" s="303"/>
      <c r="AC13" s="303"/>
    </row>
    <row r="14" spans="1:50" ht="22.7" customHeight="1" thickBot="1">
      <c r="A14" s="303"/>
      <c r="B14" s="646"/>
      <c r="C14" s="173" t="s">
        <v>168</v>
      </c>
      <c r="D14" s="146">
        <f>'HOGSTMASKIN (G0)'!Q22</f>
        <v>0</v>
      </c>
      <c r="E14" s="139"/>
      <c r="F14" s="141"/>
      <c r="G14" s="140"/>
      <c r="H14" s="164">
        <f>D14</f>
        <v>0</v>
      </c>
      <c r="I14" s="165">
        <f>D14*F$12</f>
        <v>0</v>
      </c>
      <c r="J14" s="303"/>
      <c r="K14" s="306" t="s">
        <v>169</v>
      </c>
      <c r="L14" s="303"/>
      <c r="M14" s="303"/>
      <c r="N14" s="303"/>
      <c r="O14" s="303"/>
      <c r="P14" s="303"/>
      <c r="Q14" s="303"/>
      <c r="R14" s="303"/>
      <c r="S14" s="303"/>
      <c r="T14" s="303"/>
      <c r="U14" s="303"/>
      <c r="V14" s="303"/>
      <c r="W14" s="303"/>
      <c r="X14" s="303"/>
      <c r="Y14" s="303"/>
      <c r="Z14" s="303"/>
      <c r="AA14" s="303"/>
      <c r="AB14" s="303"/>
      <c r="AC14" s="303"/>
    </row>
    <row r="15" spans="1:50" s="23" customFormat="1" ht="22.7" customHeight="1">
      <c r="A15" s="303"/>
      <c r="B15" s="646"/>
      <c r="C15" s="171" t="s">
        <v>170</v>
      </c>
      <c r="D15" s="161"/>
      <c r="E15" s="160"/>
      <c r="F15" s="157"/>
      <c r="G15" s="158"/>
      <c r="H15" s="162">
        <f>SUM(H10:H14)</f>
        <v>25.522178541615073</v>
      </c>
      <c r="I15" s="163">
        <f>SUM(I10:I14)</f>
        <v>33.178832104099598</v>
      </c>
      <c r="J15" s="303"/>
      <c r="K15" s="303"/>
      <c r="L15" s="303"/>
      <c r="M15" s="303"/>
      <c r="N15" s="303"/>
      <c r="O15" s="303"/>
      <c r="P15" s="303"/>
      <c r="Q15" s="303"/>
      <c r="R15" s="303"/>
      <c r="S15" s="303"/>
      <c r="T15" s="303"/>
      <c r="U15" s="303"/>
      <c r="V15" s="303"/>
      <c r="W15" s="303"/>
      <c r="X15" s="303"/>
      <c r="Y15" s="303"/>
      <c r="Z15" s="303"/>
      <c r="AA15" s="303"/>
      <c r="AB15" s="303"/>
      <c r="AC15" s="303"/>
      <c r="AD15"/>
      <c r="AE15"/>
      <c r="AF15"/>
      <c r="AG15"/>
      <c r="AH15"/>
      <c r="AI15"/>
      <c r="AJ15"/>
      <c r="AK15"/>
      <c r="AL15"/>
    </row>
    <row r="16" spans="1:50" s="23" customFormat="1" ht="22.7" customHeight="1" thickBot="1">
      <c r="A16" s="303"/>
      <c r="B16" s="647"/>
      <c r="C16" s="175" t="s">
        <v>171</v>
      </c>
      <c r="D16" s="176"/>
      <c r="E16" s="177"/>
      <c r="F16" s="178"/>
      <c r="G16" s="179"/>
      <c r="H16" s="180">
        <f>3600/(H15/'HOGSTMASKIN (G0)'!$C$23)</f>
        <v>14.514440283552855</v>
      </c>
      <c r="I16" s="181">
        <f>3600/(I15/'HOGSTMASKIN (G0)'!$C$23)</f>
        <v>11.164954064271425</v>
      </c>
      <c r="J16" s="303"/>
      <c r="K16" s="303"/>
      <c r="L16" s="303"/>
      <c r="M16" s="303"/>
      <c r="N16" s="303"/>
      <c r="O16" s="303"/>
      <c r="P16" s="303"/>
      <c r="Q16" s="303"/>
      <c r="R16" s="303"/>
      <c r="S16" s="303"/>
      <c r="T16" s="303"/>
      <c r="U16" s="303"/>
      <c r="V16" s="312"/>
      <c r="W16" s="303"/>
      <c r="X16" s="303"/>
      <c r="Y16" s="303"/>
      <c r="Z16" s="303"/>
      <c r="AA16" s="303"/>
      <c r="AB16" s="303"/>
      <c r="AC16" s="303"/>
      <c r="AD16"/>
      <c r="AE16"/>
      <c r="AF16"/>
      <c r="AG16"/>
      <c r="AH16"/>
      <c r="AI16"/>
      <c r="AJ16"/>
      <c r="AK16"/>
      <c r="AL16"/>
      <c r="AM16"/>
      <c r="AN16"/>
      <c r="AO16"/>
      <c r="AP16"/>
      <c r="AQ16"/>
      <c r="AR16"/>
      <c r="AS16"/>
      <c r="AT16"/>
      <c r="AU16"/>
      <c r="AV16"/>
      <c r="AW16"/>
      <c r="AX16"/>
    </row>
    <row r="17" spans="1:50" s="23" customFormat="1" ht="19.5" customHeight="1" thickBo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c r="AE17"/>
      <c r="AF17"/>
      <c r="AG17"/>
      <c r="AH17"/>
      <c r="AI17"/>
      <c r="AJ17"/>
      <c r="AK17"/>
      <c r="AL17"/>
      <c r="AM17"/>
      <c r="AN17"/>
      <c r="AO17"/>
      <c r="AP17"/>
      <c r="AQ17"/>
      <c r="AR17"/>
      <c r="AS17"/>
      <c r="AT17"/>
      <c r="AU17"/>
      <c r="AV17"/>
      <c r="AW17"/>
      <c r="AX17"/>
    </row>
    <row r="18" spans="1:50" s="23" customFormat="1">
      <c r="A18" s="303"/>
      <c r="B18" s="303"/>
      <c r="C18" s="303"/>
      <c r="D18" s="641" t="s">
        <v>153</v>
      </c>
      <c r="E18" s="638"/>
      <c r="F18" s="637" t="s">
        <v>154</v>
      </c>
      <c r="G18" s="638"/>
      <c r="H18" s="631" t="s">
        <v>155</v>
      </c>
      <c r="I18" s="632"/>
      <c r="J18" s="303"/>
      <c r="K18" s="303"/>
      <c r="L18" s="303"/>
      <c r="M18" s="303"/>
      <c r="N18" s="303"/>
      <c r="O18" s="303"/>
      <c r="P18" s="303"/>
      <c r="Q18" s="303"/>
      <c r="R18" s="303"/>
      <c r="S18" s="303"/>
      <c r="T18" s="303"/>
      <c r="U18" s="303"/>
      <c r="V18" s="303"/>
      <c r="W18" s="303"/>
      <c r="X18" s="303"/>
      <c r="Y18" s="303"/>
      <c r="Z18" s="303"/>
      <c r="AA18" s="303"/>
      <c r="AB18" s="303"/>
      <c r="AC18" s="303"/>
      <c r="AD18"/>
      <c r="AE18"/>
      <c r="AF18"/>
      <c r="AG18"/>
      <c r="AH18"/>
      <c r="AI18"/>
      <c r="AJ18"/>
      <c r="AK18"/>
      <c r="AL18"/>
      <c r="AM18"/>
      <c r="AN18"/>
      <c r="AO18"/>
      <c r="AP18"/>
      <c r="AQ18"/>
      <c r="AR18"/>
      <c r="AS18"/>
      <c r="AT18"/>
      <c r="AU18"/>
      <c r="AV18"/>
      <c r="AW18"/>
      <c r="AX18"/>
    </row>
    <row r="19" spans="1:50" s="23" customFormat="1">
      <c r="A19" s="303"/>
      <c r="B19" s="303"/>
      <c r="C19" s="303"/>
      <c r="D19" s="642"/>
      <c r="E19" s="643"/>
      <c r="F19" s="639"/>
      <c r="G19" s="640"/>
      <c r="H19" s="633"/>
      <c r="I19" s="634"/>
      <c r="J19" s="303"/>
      <c r="K19" s="303"/>
      <c r="L19" s="303"/>
      <c r="M19" s="303"/>
      <c r="N19" s="303"/>
      <c r="O19" s="303"/>
      <c r="P19" s="303"/>
      <c r="Q19" s="303"/>
      <c r="R19" s="303"/>
      <c r="S19" s="303"/>
      <c r="T19" s="303"/>
      <c r="U19" s="303"/>
      <c r="V19" s="303"/>
      <c r="W19" s="303"/>
      <c r="X19" s="303"/>
      <c r="Y19" s="303"/>
      <c r="Z19" s="303"/>
      <c r="AA19" s="303"/>
      <c r="AB19" s="303"/>
      <c r="AC19" s="303"/>
      <c r="AD19"/>
      <c r="AE19"/>
      <c r="AF19"/>
      <c r="AG19"/>
      <c r="AH19"/>
      <c r="AI19"/>
      <c r="AJ19"/>
      <c r="AK19"/>
      <c r="AL19"/>
      <c r="AM19"/>
      <c r="AN19"/>
      <c r="AO19"/>
      <c r="AP19"/>
      <c r="AQ19"/>
      <c r="AR19"/>
      <c r="AS19"/>
      <c r="AT19"/>
      <c r="AU19"/>
      <c r="AV19"/>
      <c r="AW19"/>
      <c r="AX19"/>
    </row>
    <row r="20" spans="1:50" s="23" customFormat="1" ht="15" customHeight="1">
      <c r="A20" s="303"/>
      <c r="B20" s="303"/>
      <c r="C20" s="308"/>
      <c r="D20" s="166" t="s">
        <v>157</v>
      </c>
      <c r="E20" s="169" t="s">
        <v>172</v>
      </c>
      <c r="F20" s="635" t="s">
        <v>158</v>
      </c>
      <c r="G20" s="635" t="s">
        <v>159</v>
      </c>
      <c r="H20" s="633"/>
      <c r="I20" s="634"/>
      <c r="J20" s="303"/>
      <c r="K20" s="303"/>
      <c r="L20" s="303"/>
      <c r="M20" s="303"/>
      <c r="N20" s="303"/>
      <c r="O20" s="303"/>
      <c r="P20" s="303"/>
      <c r="Q20" s="303"/>
      <c r="R20" s="303"/>
      <c r="S20" s="303"/>
      <c r="T20" s="303"/>
      <c r="U20" s="303"/>
      <c r="V20" s="303"/>
      <c r="W20" s="303"/>
      <c r="X20" s="303"/>
      <c r="Y20" s="303"/>
      <c r="Z20" s="303"/>
      <c r="AA20" s="303"/>
      <c r="AB20" s="303"/>
      <c r="AC20" s="303"/>
      <c r="AD20"/>
      <c r="AE20"/>
      <c r="AF20"/>
      <c r="AG20"/>
      <c r="AH20"/>
      <c r="AI20"/>
      <c r="AJ20"/>
      <c r="AK20"/>
      <c r="AL20"/>
      <c r="AM20"/>
      <c r="AN20"/>
      <c r="AO20"/>
      <c r="AP20"/>
      <c r="AQ20"/>
      <c r="AR20"/>
      <c r="AS20"/>
      <c r="AT20"/>
      <c r="AU20"/>
      <c r="AV20"/>
      <c r="AW20"/>
      <c r="AX20"/>
    </row>
    <row r="21" spans="1:50" s="81" customFormat="1" ht="22.7" customHeight="1" thickBot="1">
      <c r="A21" s="305"/>
      <c r="B21" s="305"/>
      <c r="C21" s="305"/>
      <c r="D21" s="167" t="s">
        <v>160</v>
      </c>
      <c r="E21" s="168" t="s">
        <v>161</v>
      </c>
      <c r="F21" s="644"/>
      <c r="G21" s="644"/>
      <c r="H21" s="184" t="s">
        <v>160</v>
      </c>
      <c r="I21" s="185" t="s">
        <v>161</v>
      </c>
      <c r="J21" s="305"/>
      <c r="K21" s="305"/>
      <c r="L21" s="303"/>
      <c r="M21" s="303"/>
      <c r="N21" s="303"/>
      <c r="O21" s="303"/>
      <c r="P21" s="303"/>
      <c r="Q21" s="303"/>
      <c r="R21" s="303"/>
      <c r="S21" s="303"/>
      <c r="T21" s="303"/>
      <c r="U21" s="305"/>
      <c r="V21" s="305"/>
      <c r="W21" s="305"/>
      <c r="X21" s="305"/>
      <c r="Y21" s="305"/>
      <c r="Z21" s="305"/>
      <c r="AA21" s="305"/>
      <c r="AB21" s="305"/>
      <c r="AC21" s="305"/>
      <c r="AD21" s="12"/>
      <c r="AE21" s="12"/>
      <c r="AF21" s="12"/>
      <c r="AG21" s="12"/>
      <c r="AH21" s="12"/>
      <c r="AI21" s="12"/>
      <c r="AJ21" s="12"/>
      <c r="AK21" s="12"/>
      <c r="AL21" s="12"/>
      <c r="AM21" s="12"/>
      <c r="AN21" s="12"/>
      <c r="AO21" s="12"/>
      <c r="AP21" s="12"/>
      <c r="AQ21" s="12"/>
      <c r="AR21" s="12"/>
      <c r="AS21" s="12"/>
      <c r="AT21" s="12"/>
      <c r="AU21" s="12"/>
      <c r="AV21" s="12"/>
      <c r="AW21" s="12"/>
      <c r="AX21" s="12"/>
    </row>
    <row r="22" spans="1:50" ht="22.7" customHeight="1">
      <c r="A22" s="303"/>
      <c r="B22" s="648" t="s">
        <v>101</v>
      </c>
      <c r="C22" s="159" t="s">
        <v>173</v>
      </c>
      <c r="D22" s="142"/>
      <c r="E22" s="144">
        <f>'LASSBÆRER (G15)'!C27</f>
        <v>25.060371791383613</v>
      </c>
      <c r="F22" s="143"/>
      <c r="G22" s="79"/>
      <c r="H22" s="183">
        <f t="shared" ref="H22:H27" si="0">E22*G$25</f>
        <v>20.048297433106892</v>
      </c>
      <c r="I22" s="150">
        <f t="shared" ref="I22:I27" si="1">E22</f>
        <v>25.060371791383613</v>
      </c>
      <c r="J22" s="303"/>
      <c r="K22" s="303"/>
      <c r="L22" s="303"/>
      <c r="M22" s="303"/>
      <c r="N22" s="303"/>
      <c r="O22" s="303"/>
      <c r="P22" s="303"/>
      <c r="Q22" s="303"/>
      <c r="R22" s="303"/>
      <c r="S22" s="303"/>
      <c r="T22" s="303"/>
      <c r="U22" s="303"/>
      <c r="V22" s="303"/>
      <c r="W22" s="303"/>
      <c r="X22" s="303"/>
      <c r="Y22" s="303"/>
      <c r="Z22" s="303"/>
      <c r="AA22" s="303"/>
      <c r="AB22" s="303"/>
      <c r="AC22" s="303"/>
    </row>
    <row r="23" spans="1:50" ht="22.7" customHeight="1">
      <c r="A23" s="303"/>
      <c r="B23" s="649"/>
      <c r="C23" s="81" t="s">
        <v>174</v>
      </c>
      <c r="D23" s="139"/>
      <c r="E23" s="145">
        <f>'LASSBÆRER (G15)'!J20</f>
        <v>3.8830202971535219</v>
      </c>
      <c r="F23" s="140"/>
      <c r="G23" s="152" t="s">
        <v>175</v>
      </c>
      <c r="H23" s="149">
        <f t="shared" si="0"/>
        <v>3.1064162377228177</v>
      </c>
      <c r="I23" s="151">
        <f t="shared" si="1"/>
        <v>3.8830202971535219</v>
      </c>
      <c r="J23" s="303"/>
      <c r="K23" s="303"/>
      <c r="L23" s="303"/>
      <c r="M23" s="303"/>
      <c r="N23" s="303"/>
      <c r="O23" s="303"/>
      <c r="P23" s="303"/>
      <c r="Q23" s="303"/>
      <c r="R23" s="303"/>
      <c r="S23" s="303"/>
      <c r="T23" s="303"/>
      <c r="U23" s="303"/>
      <c r="V23" s="303"/>
      <c r="W23" s="303"/>
      <c r="X23" s="303"/>
      <c r="Y23" s="303"/>
      <c r="Z23" s="303"/>
      <c r="AA23" s="303"/>
      <c r="AB23" s="303"/>
      <c r="AC23" s="303"/>
    </row>
    <row r="24" spans="1:50" ht="22.7" customHeight="1">
      <c r="A24" s="303"/>
      <c r="B24" s="649"/>
      <c r="C24" s="81" t="s">
        <v>176</v>
      </c>
      <c r="D24" s="139"/>
      <c r="E24" s="145">
        <f>'LASSBÆRER (G15)'!J37</f>
        <v>0</v>
      </c>
      <c r="F24" s="140"/>
      <c r="G24" s="152"/>
      <c r="H24" s="149">
        <f t="shared" si="0"/>
        <v>0</v>
      </c>
      <c r="I24" s="151">
        <f t="shared" si="1"/>
        <v>0</v>
      </c>
      <c r="J24" s="303"/>
      <c r="K24" s="303"/>
      <c r="L24" s="303"/>
      <c r="M24" s="303"/>
      <c r="N24" s="303"/>
      <c r="O24" s="303"/>
      <c r="P24" s="303"/>
      <c r="Q24" s="303"/>
      <c r="R24" s="303"/>
      <c r="S24" s="303"/>
      <c r="T24" s="303"/>
      <c r="U24" s="303"/>
      <c r="V24" s="303"/>
      <c r="W24" s="303"/>
      <c r="X24" s="303"/>
      <c r="Y24" s="303"/>
      <c r="Z24" s="303"/>
      <c r="AA24" s="303"/>
      <c r="AB24" s="303"/>
      <c r="AC24" s="303"/>
    </row>
    <row r="25" spans="1:50" ht="22.7" customHeight="1">
      <c r="A25" s="303"/>
      <c r="B25" s="649"/>
      <c r="C25" s="81" t="s">
        <v>177</v>
      </c>
      <c r="D25" s="139"/>
      <c r="E25" s="145">
        <f>'LASSBÆRER (G15)'!Q13</f>
        <v>-0.32660495405155093</v>
      </c>
      <c r="F25" s="140"/>
      <c r="G25" s="153">
        <v>0.8</v>
      </c>
      <c r="H25" s="149">
        <f t="shared" si="0"/>
        <v>-0.26128396324124076</v>
      </c>
      <c r="I25" s="151">
        <f t="shared" si="1"/>
        <v>-0.32660495405155093</v>
      </c>
      <c r="J25" s="303"/>
      <c r="K25" s="303"/>
      <c r="L25" s="303"/>
      <c r="M25" s="303"/>
      <c r="N25" s="303"/>
      <c r="O25" s="303"/>
      <c r="P25" s="303"/>
      <c r="Q25" s="303"/>
      <c r="R25" s="303"/>
      <c r="S25" s="303"/>
      <c r="T25" s="303"/>
      <c r="U25" s="303"/>
      <c r="V25" s="303"/>
      <c r="W25" s="303"/>
      <c r="X25" s="303"/>
      <c r="Y25" s="303"/>
      <c r="Z25" s="303"/>
      <c r="AA25" s="303"/>
      <c r="AB25" s="303"/>
      <c r="AC25" s="303"/>
    </row>
    <row r="26" spans="1:50" ht="22.7" customHeight="1">
      <c r="A26" s="303"/>
      <c r="B26" s="649"/>
      <c r="C26" s="81" t="s">
        <v>178</v>
      </c>
      <c r="D26" s="139"/>
      <c r="E26" s="146">
        <f>'LASSBÆRER (G15)'!Q24</f>
        <v>1.8522006817422303</v>
      </c>
      <c r="F26" s="140"/>
      <c r="G26" s="154"/>
      <c r="H26" s="149">
        <f t="shared" si="0"/>
        <v>1.4817605453937843</v>
      </c>
      <c r="I26" s="151">
        <f t="shared" si="1"/>
        <v>1.8522006817422303</v>
      </c>
      <c r="J26" s="303"/>
      <c r="K26" s="303"/>
      <c r="L26" s="303"/>
      <c r="M26" s="303"/>
      <c r="N26" s="303"/>
      <c r="O26" s="303"/>
      <c r="P26" s="303"/>
      <c r="Q26" s="303"/>
      <c r="R26" s="303"/>
      <c r="S26" s="303"/>
      <c r="T26" s="303"/>
      <c r="U26" s="303"/>
      <c r="V26" s="303"/>
      <c r="W26" s="303"/>
      <c r="X26" s="303"/>
      <c r="Y26" s="303"/>
      <c r="Z26" s="303"/>
      <c r="AA26" s="303"/>
      <c r="AB26" s="303"/>
      <c r="AC26" s="303"/>
    </row>
    <row r="27" spans="1:50" ht="22.7" customHeight="1" thickBot="1">
      <c r="A27" s="303"/>
      <c r="B27" s="649"/>
      <c r="C27" s="81" t="s">
        <v>179</v>
      </c>
      <c r="D27" s="139"/>
      <c r="E27" s="146">
        <f>'LASSBÆRER (G15)'!Q34</f>
        <v>0.7717502840592626</v>
      </c>
      <c r="F27" s="140"/>
      <c r="G27" s="155"/>
      <c r="H27" s="182">
        <f t="shared" si="0"/>
        <v>0.61740022724741017</v>
      </c>
      <c r="I27" s="165">
        <f t="shared" si="1"/>
        <v>0.7717502840592626</v>
      </c>
      <c r="J27" s="303"/>
      <c r="K27" s="303"/>
      <c r="L27" s="303"/>
      <c r="M27" s="303"/>
      <c r="N27" s="303"/>
      <c r="O27" s="303"/>
      <c r="P27" s="303"/>
      <c r="Q27" s="303"/>
      <c r="R27" s="303"/>
      <c r="S27" s="303"/>
      <c r="T27" s="303"/>
      <c r="U27" s="303"/>
      <c r="V27" s="303"/>
      <c r="W27" s="303"/>
      <c r="X27" s="303"/>
      <c r="Y27" s="303"/>
      <c r="Z27" s="303"/>
      <c r="AA27" s="303"/>
      <c r="AB27" s="303"/>
      <c r="AC27" s="303"/>
    </row>
    <row r="28" spans="1:50" s="23" customFormat="1" ht="22.7" customHeight="1">
      <c r="A28" s="303"/>
      <c r="B28" s="649"/>
      <c r="C28" s="156" t="s">
        <v>170</v>
      </c>
      <c r="D28" s="161"/>
      <c r="E28" s="160"/>
      <c r="F28" s="157"/>
      <c r="G28" s="158"/>
      <c r="H28" s="162">
        <f>SUM(H22:H27)</f>
        <v>24.992590480229666</v>
      </c>
      <c r="I28" s="163">
        <f>SUM(I22:I27)</f>
        <v>31.240738100287075</v>
      </c>
      <c r="J28" s="303"/>
      <c r="K28" s="303"/>
      <c r="L28" s="303"/>
      <c r="M28" s="303"/>
      <c r="N28" s="303"/>
      <c r="O28" s="303"/>
      <c r="P28" s="303"/>
      <c r="Q28" s="303"/>
      <c r="R28" s="303"/>
      <c r="S28" s="303"/>
      <c r="T28" s="303"/>
      <c r="U28" s="303"/>
      <c r="V28" s="303"/>
      <c r="W28" s="303"/>
      <c r="X28" s="303"/>
      <c r="Y28" s="303"/>
      <c r="Z28" s="303"/>
      <c r="AA28" s="303"/>
      <c r="AB28" s="303"/>
      <c r="AC28" s="303"/>
      <c r="AD28"/>
      <c r="AE28"/>
      <c r="AF28"/>
      <c r="AG28"/>
      <c r="AH28"/>
      <c r="AI28"/>
      <c r="AJ28"/>
      <c r="AK28"/>
      <c r="AL28"/>
      <c r="AM28"/>
      <c r="AN28"/>
      <c r="AO28"/>
      <c r="AP28"/>
      <c r="AQ28"/>
      <c r="AR28"/>
      <c r="AS28"/>
      <c r="AT28"/>
      <c r="AU28"/>
      <c r="AV28"/>
      <c r="AW28"/>
      <c r="AX28"/>
    </row>
    <row r="29" spans="1:50" s="23" customFormat="1" ht="22.7" customHeight="1" thickBot="1">
      <c r="A29" s="303"/>
      <c r="B29" s="650"/>
      <c r="C29" s="177" t="s">
        <v>171</v>
      </c>
      <c r="D29" s="176"/>
      <c r="E29" s="177"/>
      <c r="F29" s="178"/>
      <c r="G29" s="179"/>
      <c r="H29" s="180">
        <f>3600/(H28/'HOGSTMASKIN (G0)'!$C$23)</f>
        <v>14.821998409547898</v>
      </c>
      <c r="I29" s="181">
        <f>3600/(I28/'HOGSTMASKIN (G0)'!$C$23)</f>
        <v>11.857598727638321</v>
      </c>
      <c r="J29" s="303"/>
      <c r="K29" s="303"/>
      <c r="L29" s="303"/>
      <c r="M29" s="303"/>
      <c r="N29" s="303"/>
      <c r="O29" s="303"/>
      <c r="P29" s="303"/>
      <c r="Q29" s="303"/>
      <c r="R29" s="303"/>
      <c r="S29" s="303"/>
      <c r="T29" s="303"/>
      <c r="U29" s="303"/>
      <c r="V29" s="303"/>
      <c r="W29" s="303"/>
      <c r="X29" s="303"/>
      <c r="Y29" s="303"/>
      <c r="Z29" s="303"/>
      <c r="AA29" s="303"/>
      <c r="AB29" s="303"/>
      <c r="AC29" s="303"/>
      <c r="AD29"/>
      <c r="AE29"/>
      <c r="AF29"/>
      <c r="AG29"/>
      <c r="AH29"/>
      <c r="AI29"/>
      <c r="AJ29"/>
      <c r="AK29"/>
      <c r="AL29"/>
      <c r="AM29"/>
      <c r="AN29"/>
      <c r="AO29"/>
      <c r="AP29"/>
      <c r="AQ29"/>
      <c r="AR29"/>
      <c r="AS29"/>
      <c r="AT29"/>
      <c r="AU29"/>
      <c r="AV29"/>
      <c r="AW29"/>
      <c r="AX29"/>
    </row>
    <row r="30" spans="1:50" s="23" customForma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c r="AE30"/>
      <c r="AF30"/>
      <c r="AG30"/>
      <c r="AH30"/>
      <c r="AI30"/>
      <c r="AJ30"/>
      <c r="AK30"/>
      <c r="AL30"/>
      <c r="AM30"/>
      <c r="AN30"/>
      <c r="AO30"/>
      <c r="AP30"/>
      <c r="AQ30"/>
      <c r="AR30"/>
      <c r="AS30"/>
      <c r="AT30"/>
      <c r="AU30"/>
      <c r="AV30"/>
      <c r="AW30"/>
      <c r="AX30"/>
    </row>
    <row r="31" spans="1:50" s="23" customForma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c r="AE31"/>
      <c r="AF31"/>
      <c r="AG31"/>
      <c r="AH31"/>
      <c r="AI31"/>
      <c r="AJ31"/>
      <c r="AK31"/>
      <c r="AL31"/>
      <c r="AM31"/>
      <c r="AN31"/>
      <c r="AO31"/>
      <c r="AP31"/>
      <c r="AQ31"/>
      <c r="AR31"/>
      <c r="AS31"/>
      <c r="AT31"/>
      <c r="AU31"/>
      <c r="AV31"/>
      <c r="AW31"/>
      <c r="AX31"/>
    </row>
    <row r="32" spans="1:50" s="23" customFormat="1" ht="11.1" customHeight="1">
      <c r="A32" s="303"/>
      <c r="B32" s="307"/>
      <c r="C32" s="307"/>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c r="AE32"/>
      <c r="AF32"/>
      <c r="AG32"/>
      <c r="AH32"/>
      <c r="AI32"/>
      <c r="AJ32"/>
      <c r="AK32"/>
      <c r="AL32"/>
      <c r="AM32"/>
      <c r="AN32"/>
      <c r="AO32"/>
      <c r="AP32"/>
      <c r="AQ32"/>
      <c r="AR32"/>
      <c r="AS32"/>
      <c r="AT32"/>
      <c r="AU32"/>
      <c r="AV32"/>
      <c r="AW32"/>
      <c r="AX32"/>
    </row>
    <row r="33" spans="1:50" s="23" customFormat="1" ht="21">
      <c r="A33" s="303"/>
      <c r="B33" s="307"/>
      <c r="C33" s="307"/>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c r="AE33"/>
      <c r="AF33"/>
      <c r="AG33"/>
      <c r="AH33"/>
      <c r="AI33"/>
      <c r="AJ33"/>
      <c r="AK33"/>
      <c r="AL33"/>
      <c r="AM33"/>
      <c r="AN33"/>
      <c r="AO33"/>
      <c r="AP33"/>
      <c r="AQ33"/>
      <c r="AR33"/>
      <c r="AS33"/>
      <c r="AT33"/>
      <c r="AU33"/>
      <c r="AV33"/>
      <c r="AW33"/>
      <c r="AX33"/>
    </row>
    <row r="34" spans="1:50" s="23" customFormat="1" ht="19.149999999999999"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c r="AE34"/>
      <c r="AF34"/>
      <c r="AG34"/>
      <c r="AH34"/>
      <c r="AI34"/>
      <c r="AJ34"/>
      <c r="AK34"/>
      <c r="AL34"/>
      <c r="AM34"/>
      <c r="AN34"/>
      <c r="AO34"/>
      <c r="AP34"/>
      <c r="AQ34"/>
      <c r="AR34"/>
      <c r="AS34"/>
      <c r="AT34"/>
      <c r="AU34"/>
      <c r="AV34"/>
      <c r="AW34"/>
      <c r="AX34"/>
    </row>
    <row r="35" spans="1:50" s="23" customFormat="1" ht="21">
      <c r="A35" s="303"/>
      <c r="B35" s="303"/>
      <c r="C35" s="303"/>
      <c r="D35" s="307"/>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c r="AE35"/>
      <c r="AF35"/>
      <c r="AG35"/>
      <c r="AH35"/>
      <c r="AI35"/>
      <c r="AJ35"/>
      <c r="AK35"/>
      <c r="AL35"/>
      <c r="AM35"/>
      <c r="AN35"/>
      <c r="AO35"/>
      <c r="AP35"/>
      <c r="AQ35"/>
      <c r="AR35"/>
      <c r="AS35"/>
      <c r="AT35"/>
      <c r="AU35"/>
      <c r="AV35"/>
      <c r="AW35"/>
      <c r="AX35"/>
    </row>
    <row r="36" spans="1:50" s="23" customFormat="1" ht="21">
      <c r="A36" s="303"/>
      <c r="B36" s="303"/>
      <c r="C36" s="303"/>
      <c r="D36" s="307"/>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c r="AE36"/>
      <c r="AF36"/>
      <c r="AG36"/>
      <c r="AH36"/>
      <c r="AI36"/>
      <c r="AJ36"/>
      <c r="AK36"/>
      <c r="AL36"/>
      <c r="AM36"/>
      <c r="AN36"/>
      <c r="AO36"/>
      <c r="AP36"/>
      <c r="AQ36"/>
      <c r="AR36"/>
      <c r="AS36"/>
      <c r="AT36"/>
      <c r="AU36"/>
      <c r="AV36"/>
      <c r="AW36"/>
      <c r="AX36"/>
    </row>
    <row r="37" spans="1:50" s="23" customFormat="1" ht="6.6" customHeight="1">
      <c r="A37" s="303"/>
      <c r="B37" s="303"/>
      <c r="C37" s="303"/>
      <c r="D37" s="307"/>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c r="AE37"/>
      <c r="AF37"/>
      <c r="AG37"/>
      <c r="AH37"/>
      <c r="AI37"/>
      <c r="AJ37"/>
      <c r="AK37"/>
      <c r="AL37"/>
      <c r="AM37"/>
      <c r="AN37"/>
      <c r="AO37"/>
      <c r="AP37"/>
      <c r="AQ37"/>
      <c r="AR37"/>
      <c r="AS37"/>
      <c r="AT37"/>
      <c r="AU37"/>
      <c r="AV37"/>
      <c r="AW37"/>
      <c r="AX37"/>
    </row>
    <row r="38" spans="1:50" s="23" customFormat="1" ht="32.450000000000003" customHeight="1">
      <c r="A38" s="303"/>
      <c r="B38" s="303"/>
      <c r="C38" s="303"/>
      <c r="D38" s="307"/>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c r="AE38"/>
      <c r="AF38"/>
      <c r="AG38"/>
      <c r="AH38"/>
      <c r="AI38"/>
      <c r="AJ38"/>
      <c r="AK38"/>
      <c r="AL38"/>
      <c r="AM38"/>
      <c r="AN38"/>
      <c r="AO38"/>
      <c r="AP38"/>
      <c r="AQ38"/>
      <c r="AR38"/>
      <c r="AS38"/>
      <c r="AT38"/>
      <c r="AU38"/>
      <c r="AV38"/>
      <c r="AW38"/>
      <c r="AX38"/>
    </row>
    <row r="39" spans="1:50" s="23" customForma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c r="AE39"/>
      <c r="AF39"/>
      <c r="AG39"/>
      <c r="AH39"/>
      <c r="AI39"/>
      <c r="AJ39"/>
      <c r="AK39"/>
      <c r="AL39"/>
      <c r="AM39"/>
      <c r="AN39"/>
      <c r="AO39"/>
      <c r="AP39"/>
      <c r="AQ39"/>
      <c r="AR39"/>
      <c r="AS39"/>
      <c r="AT39"/>
      <c r="AU39"/>
      <c r="AV39"/>
      <c r="AW39"/>
      <c r="AX39"/>
    </row>
    <row r="40" spans="1:50" s="23" customFormat="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c r="AE40"/>
      <c r="AF40"/>
      <c r="AG40"/>
      <c r="AH40"/>
      <c r="AI40"/>
      <c r="AJ40"/>
      <c r="AK40"/>
      <c r="AL40"/>
      <c r="AM40"/>
      <c r="AN40"/>
      <c r="AO40"/>
      <c r="AP40"/>
      <c r="AQ40"/>
      <c r="AR40"/>
      <c r="AS40"/>
      <c r="AT40"/>
      <c r="AU40"/>
      <c r="AV40"/>
      <c r="AW40"/>
      <c r="AX40"/>
    </row>
    <row r="41" spans="1:50" s="23" customForma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c r="AE41"/>
      <c r="AF41"/>
      <c r="AG41"/>
      <c r="AH41"/>
      <c r="AI41"/>
      <c r="AJ41"/>
      <c r="AK41"/>
      <c r="AL41"/>
      <c r="AM41"/>
      <c r="AN41"/>
      <c r="AO41"/>
      <c r="AP41"/>
      <c r="AQ41"/>
      <c r="AR41"/>
      <c r="AS41"/>
      <c r="AT41"/>
      <c r="AU41"/>
      <c r="AV41"/>
      <c r="AW41"/>
      <c r="AX41"/>
    </row>
    <row r="42" spans="1:50" s="23" customFormat="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c r="AE42"/>
      <c r="AF42"/>
      <c r="AG42"/>
      <c r="AH42"/>
      <c r="AI42"/>
      <c r="AJ42"/>
      <c r="AK42"/>
      <c r="AL42"/>
      <c r="AM42"/>
      <c r="AN42"/>
      <c r="AO42"/>
      <c r="AP42"/>
      <c r="AQ42"/>
      <c r="AR42"/>
      <c r="AS42"/>
      <c r="AT42"/>
      <c r="AU42"/>
      <c r="AV42"/>
      <c r="AW42"/>
      <c r="AX42"/>
    </row>
    <row r="43" spans="1:50" s="23" customFormat="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c r="AE43"/>
      <c r="AF43"/>
      <c r="AG43"/>
      <c r="AH43"/>
      <c r="AI43"/>
      <c r="AJ43"/>
      <c r="AK43"/>
      <c r="AL43"/>
      <c r="AM43"/>
      <c r="AN43"/>
      <c r="AO43"/>
      <c r="AP43"/>
      <c r="AQ43"/>
      <c r="AR43"/>
      <c r="AS43"/>
      <c r="AT43"/>
      <c r="AU43"/>
      <c r="AV43"/>
      <c r="AW43"/>
      <c r="AX43"/>
    </row>
    <row r="44" spans="1:50" s="23" customFormat="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c r="AE44"/>
      <c r="AF44"/>
      <c r="AG44"/>
      <c r="AH44"/>
      <c r="AI44"/>
      <c r="AJ44"/>
      <c r="AK44"/>
      <c r="AL44"/>
      <c r="AM44"/>
      <c r="AN44"/>
      <c r="AO44"/>
      <c r="AP44"/>
      <c r="AQ44"/>
      <c r="AR44"/>
      <c r="AS44"/>
      <c r="AT44"/>
      <c r="AU44"/>
      <c r="AV44"/>
      <c r="AW44"/>
      <c r="AX44"/>
    </row>
    <row r="45" spans="1:50" s="23" customFormat="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c r="AE45"/>
      <c r="AF45"/>
      <c r="AG45"/>
      <c r="AH45"/>
      <c r="AI45"/>
      <c r="AJ45"/>
      <c r="AK45"/>
      <c r="AL45"/>
      <c r="AM45"/>
      <c r="AN45"/>
      <c r="AO45"/>
      <c r="AP45"/>
      <c r="AQ45"/>
      <c r="AR45"/>
      <c r="AS45"/>
      <c r="AT45"/>
      <c r="AU45"/>
      <c r="AV45"/>
      <c r="AW45"/>
      <c r="AX45"/>
    </row>
    <row r="46" spans="1:50" s="23" customFormat="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c r="AE46"/>
      <c r="AF46"/>
      <c r="AG46"/>
      <c r="AH46"/>
      <c r="AI46"/>
      <c r="AJ46"/>
      <c r="AK46"/>
      <c r="AL46"/>
      <c r="AM46"/>
      <c r="AN46"/>
      <c r="AO46"/>
      <c r="AP46"/>
      <c r="AQ46"/>
      <c r="AR46"/>
      <c r="AS46"/>
      <c r="AT46"/>
      <c r="AU46"/>
      <c r="AV46"/>
      <c r="AW46"/>
      <c r="AX46"/>
    </row>
    <row r="47" spans="1:50" s="23" customFormat="1">
      <c r="U47"/>
      <c r="V47"/>
      <c r="W47"/>
      <c r="X47"/>
      <c r="Y47"/>
      <c r="Z47"/>
      <c r="AA47"/>
      <c r="AB47"/>
      <c r="AC47"/>
      <c r="AD47"/>
      <c r="AE47"/>
      <c r="AF47"/>
      <c r="AG47"/>
      <c r="AH47"/>
      <c r="AI47"/>
      <c r="AJ47"/>
      <c r="AK47"/>
      <c r="AL47"/>
      <c r="AM47"/>
      <c r="AN47"/>
      <c r="AO47"/>
      <c r="AP47"/>
      <c r="AQ47"/>
      <c r="AR47"/>
      <c r="AS47"/>
      <c r="AT47"/>
      <c r="AU47"/>
      <c r="AV47"/>
      <c r="AW47"/>
      <c r="AX47"/>
    </row>
    <row r="48" spans="1:50" s="23" customFormat="1">
      <c r="U48"/>
      <c r="V48"/>
      <c r="W48"/>
      <c r="X48"/>
      <c r="Y48"/>
      <c r="Z48"/>
      <c r="AA48"/>
      <c r="AB48"/>
      <c r="AC48"/>
      <c r="AD48"/>
      <c r="AE48"/>
      <c r="AF48"/>
      <c r="AG48"/>
      <c r="AH48"/>
      <c r="AI48"/>
      <c r="AJ48"/>
      <c r="AK48"/>
      <c r="AL48"/>
      <c r="AM48"/>
      <c r="AN48"/>
      <c r="AO48"/>
      <c r="AP48"/>
      <c r="AQ48"/>
      <c r="AR48"/>
      <c r="AS48"/>
      <c r="AT48"/>
      <c r="AU48"/>
      <c r="AV48"/>
      <c r="AW48"/>
      <c r="AX48"/>
    </row>
    <row r="49" spans="4:50" s="23" customFormat="1">
      <c r="U49"/>
      <c r="V49"/>
      <c r="W49"/>
      <c r="X49"/>
      <c r="Y49"/>
      <c r="Z49"/>
      <c r="AA49"/>
      <c r="AB49"/>
      <c r="AC49"/>
      <c r="AD49"/>
      <c r="AE49"/>
      <c r="AF49"/>
      <c r="AG49"/>
      <c r="AH49"/>
      <c r="AI49"/>
      <c r="AJ49"/>
      <c r="AK49"/>
      <c r="AL49"/>
      <c r="AM49"/>
      <c r="AN49"/>
      <c r="AO49"/>
      <c r="AP49"/>
      <c r="AQ49"/>
      <c r="AR49"/>
      <c r="AS49"/>
      <c r="AT49"/>
      <c r="AU49"/>
      <c r="AV49"/>
      <c r="AW49"/>
      <c r="AX49"/>
    </row>
    <row r="50" spans="4:50" s="23" customFormat="1">
      <c r="U50"/>
      <c r="V50"/>
      <c r="W50"/>
      <c r="X50"/>
      <c r="Y50"/>
      <c r="Z50"/>
      <c r="AA50"/>
      <c r="AB50"/>
      <c r="AC50"/>
      <c r="AD50"/>
      <c r="AE50"/>
      <c r="AF50"/>
      <c r="AG50"/>
      <c r="AH50"/>
      <c r="AI50"/>
      <c r="AJ50"/>
      <c r="AK50"/>
      <c r="AL50"/>
      <c r="AM50"/>
      <c r="AN50"/>
      <c r="AO50"/>
      <c r="AP50"/>
      <c r="AQ50"/>
      <c r="AR50"/>
      <c r="AS50"/>
      <c r="AT50"/>
      <c r="AU50"/>
      <c r="AV50"/>
      <c r="AW50"/>
      <c r="AX50"/>
    </row>
    <row r="51" spans="4:50" s="23" customFormat="1">
      <c r="U51"/>
      <c r="V51"/>
      <c r="W51"/>
      <c r="X51"/>
      <c r="Y51"/>
      <c r="Z51"/>
      <c r="AA51"/>
      <c r="AB51"/>
      <c r="AC51"/>
      <c r="AD51"/>
      <c r="AE51"/>
      <c r="AF51"/>
      <c r="AG51"/>
      <c r="AH51"/>
      <c r="AI51"/>
      <c r="AJ51"/>
      <c r="AK51"/>
      <c r="AL51"/>
      <c r="AM51"/>
      <c r="AN51"/>
      <c r="AO51"/>
      <c r="AP51"/>
      <c r="AQ51"/>
      <c r="AR51"/>
      <c r="AS51"/>
      <c r="AT51"/>
      <c r="AU51"/>
      <c r="AV51"/>
      <c r="AW51"/>
      <c r="AX51"/>
    </row>
    <row r="52" spans="4:50" s="23" customFormat="1">
      <c r="U52"/>
      <c r="V52"/>
      <c r="W52"/>
      <c r="X52"/>
      <c r="Y52"/>
      <c r="Z52"/>
      <c r="AA52"/>
      <c r="AB52"/>
      <c r="AC52"/>
      <c r="AD52"/>
      <c r="AE52"/>
      <c r="AF52"/>
      <c r="AG52"/>
      <c r="AH52"/>
      <c r="AI52"/>
      <c r="AJ52"/>
      <c r="AK52"/>
      <c r="AL52"/>
      <c r="AM52"/>
      <c r="AN52"/>
      <c r="AO52"/>
      <c r="AP52"/>
      <c r="AQ52"/>
      <c r="AR52"/>
      <c r="AS52"/>
      <c r="AT52"/>
      <c r="AU52"/>
      <c r="AV52"/>
      <c r="AW52"/>
      <c r="AX52"/>
    </row>
    <row r="53" spans="4:50">
      <c r="D53" s="23"/>
      <c r="E53" s="23"/>
      <c r="F53" s="23"/>
      <c r="G53" s="23"/>
    </row>
    <row r="54" spans="4:50">
      <c r="D54" s="23"/>
      <c r="E54" s="23"/>
      <c r="F54" s="23"/>
      <c r="G54" s="23"/>
    </row>
    <row r="55" spans="4:50">
      <c r="D55" s="23"/>
      <c r="E55" s="23"/>
      <c r="F55" s="23"/>
      <c r="G55" s="23"/>
    </row>
    <row r="56" spans="4:50">
      <c r="D56" s="23"/>
      <c r="E56" s="23"/>
      <c r="F56" s="23"/>
      <c r="G56" s="23"/>
    </row>
    <row r="57" spans="4:50">
      <c r="D57" s="23"/>
      <c r="E57" s="23"/>
      <c r="F57" s="23"/>
      <c r="G57" s="23"/>
    </row>
    <row r="58" spans="4:50">
      <c r="D58" s="23"/>
      <c r="E58" s="23"/>
      <c r="F58" s="23"/>
      <c r="G58" s="23"/>
    </row>
    <row r="59" spans="4:50">
      <c r="D59" s="23"/>
      <c r="E59" s="23"/>
      <c r="F59" s="23"/>
      <c r="G59" s="23"/>
    </row>
    <row r="60" spans="4:50">
      <c r="D60" s="23"/>
      <c r="E60" s="23"/>
      <c r="F60" s="23"/>
      <c r="G60" s="23"/>
    </row>
    <row r="61" spans="4:50">
      <c r="D61" s="23"/>
      <c r="E61" s="23"/>
      <c r="F61" s="23"/>
      <c r="G61" s="23"/>
    </row>
    <row r="62" spans="4:50">
      <c r="D62" s="23"/>
      <c r="E62" s="23"/>
      <c r="F62" s="23"/>
      <c r="G62" s="23"/>
    </row>
    <row r="63" spans="4:50">
      <c r="D63" s="23"/>
      <c r="E63" s="23"/>
      <c r="F63" s="23"/>
      <c r="G63" s="23"/>
    </row>
    <row r="64" spans="4:50">
      <c r="D64" s="23"/>
      <c r="E64" s="23"/>
      <c r="F64" s="23"/>
      <c r="G64" s="23"/>
    </row>
    <row r="65" spans="4:7">
      <c r="D65" s="23"/>
      <c r="E65" s="23"/>
      <c r="F65" s="23"/>
      <c r="G65" s="23"/>
    </row>
    <row r="66" spans="4:7">
      <c r="D66" s="23"/>
      <c r="E66" s="23"/>
      <c r="F66" s="23"/>
      <c r="G66" s="23"/>
    </row>
    <row r="67" spans="4:7">
      <c r="D67" s="23"/>
      <c r="E67" s="23"/>
      <c r="F67" s="23"/>
      <c r="G67" s="23"/>
    </row>
    <row r="68" spans="4:7">
      <c r="D68" s="23"/>
      <c r="E68" s="23"/>
      <c r="F68" s="23"/>
      <c r="G68" s="23"/>
    </row>
    <row r="69" spans="4:7">
      <c r="D69" s="23"/>
      <c r="E69" s="23"/>
      <c r="F69" s="23"/>
      <c r="G69" s="23"/>
    </row>
    <row r="70" spans="4:7">
      <c r="D70" s="23"/>
      <c r="E70" s="23"/>
      <c r="F70" s="23"/>
      <c r="G70" s="23"/>
    </row>
    <row r="71" spans="4:7">
      <c r="D71" s="23"/>
      <c r="E71" s="23"/>
      <c r="F71" s="23"/>
      <c r="G71" s="23"/>
    </row>
    <row r="72" spans="4:7">
      <c r="D72" s="23"/>
      <c r="E72" s="23"/>
      <c r="F72" s="23"/>
      <c r="G72" s="23"/>
    </row>
    <row r="73" spans="4:7">
      <c r="D73" s="23"/>
      <c r="E73" s="23"/>
      <c r="F73" s="23"/>
      <c r="G73" s="23"/>
    </row>
    <row r="74" spans="4:7">
      <c r="D74" s="23"/>
      <c r="E74" s="23"/>
      <c r="F74" s="23"/>
      <c r="G74" s="23"/>
    </row>
    <row r="75" spans="4:7">
      <c r="D75" s="23"/>
      <c r="E75" s="23"/>
      <c r="F75" s="23"/>
      <c r="G75" s="23"/>
    </row>
    <row r="76" spans="4:7">
      <c r="D76" s="23"/>
      <c r="E76" s="23"/>
      <c r="F76" s="23"/>
      <c r="G76" s="23"/>
    </row>
    <row r="77" spans="4:7">
      <c r="D77" s="23"/>
      <c r="E77" s="23"/>
      <c r="F77" s="23"/>
      <c r="G77" s="23"/>
    </row>
    <row r="78" spans="4:7">
      <c r="D78" s="23"/>
      <c r="E78" s="23"/>
      <c r="F78" s="23"/>
      <c r="G78" s="23"/>
    </row>
    <row r="79" spans="4:7">
      <c r="D79" s="23"/>
      <c r="E79" s="23"/>
      <c r="F79" s="23"/>
      <c r="G79" s="23"/>
    </row>
    <row r="80" spans="4:7">
      <c r="D80" s="23"/>
      <c r="E80" s="23"/>
      <c r="F80" s="23"/>
      <c r="G80" s="23"/>
    </row>
    <row r="81" spans="4:7">
      <c r="D81" s="23"/>
      <c r="E81" s="23"/>
      <c r="F81" s="23"/>
      <c r="G81" s="23"/>
    </row>
    <row r="82" spans="4:7">
      <c r="D82" s="23"/>
      <c r="E82" s="23"/>
      <c r="F82" s="23"/>
      <c r="G82" s="23"/>
    </row>
  </sheetData>
  <sheetProtection selectLockedCells="1"/>
  <mergeCells count="12">
    <mergeCell ref="H18:I20"/>
    <mergeCell ref="F20:F21"/>
    <mergeCell ref="G20:G21"/>
    <mergeCell ref="B10:B16"/>
    <mergeCell ref="B22:B29"/>
    <mergeCell ref="D18:E19"/>
    <mergeCell ref="F18:G19"/>
    <mergeCell ref="H6:I8"/>
    <mergeCell ref="F8:F9"/>
    <mergeCell ref="G8:G9"/>
    <mergeCell ref="F6:G7"/>
    <mergeCell ref="D6:E7"/>
  </mergeCells>
  <pageMargins left="0.25" right="0.25"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82"/>
  <sheetViews>
    <sheetView workbookViewId="0">
      <selection activeCell="E24" sqref="E24"/>
    </sheetView>
  </sheetViews>
  <sheetFormatPr defaultColWidth="11.42578125" defaultRowHeight="15"/>
  <cols>
    <col min="1" max="1" width="2.85546875" style="23" customWidth="1"/>
    <col min="2" max="2" width="9" style="23" customWidth="1"/>
    <col min="3" max="3" width="26.28515625" style="23" customWidth="1"/>
    <col min="4" max="5" width="12.85546875" customWidth="1"/>
    <col min="6" max="6" width="12.7109375" customWidth="1"/>
    <col min="7" max="7" width="12.28515625" customWidth="1"/>
    <col min="8" max="9" width="11.7109375" style="23" customWidth="1"/>
    <col min="10" max="10" width="2.140625" style="23" customWidth="1"/>
    <col min="11" max="12" width="11.5703125" style="23"/>
    <col min="13" max="17" width="0" style="23" hidden="1" customWidth="1"/>
    <col min="18" max="20" width="0" hidden="1" customWidth="1"/>
    <col min="21" max="38" width="11.5703125"/>
  </cols>
  <sheetData>
    <row r="1" spans="1:50" s="301" customFormat="1" ht="13.7" customHeight="1"/>
    <row r="2" spans="1:50" s="301" customFormat="1" ht="13.7" customHeight="1"/>
    <row r="3" spans="1:50" s="301" customFormat="1" ht="13.7" customHeight="1"/>
    <row r="4" spans="1:50" s="23" customFormat="1" ht="42" customHeight="1">
      <c r="A4" s="302"/>
      <c r="B4" s="309" t="s">
        <v>152</v>
      </c>
      <c r="C4" s="302"/>
      <c r="D4" s="302"/>
      <c r="E4" s="302"/>
      <c r="F4" s="302"/>
      <c r="G4" s="302"/>
      <c r="H4" s="302"/>
      <c r="I4" s="302"/>
      <c r="J4" s="302"/>
      <c r="K4" s="303"/>
      <c r="L4" s="303"/>
      <c r="M4" s="170"/>
      <c r="N4" s="170"/>
      <c r="O4" s="170"/>
      <c r="P4" s="170"/>
      <c r="Q4" s="170"/>
      <c r="R4" s="170"/>
      <c r="S4" s="170"/>
      <c r="T4" s="170"/>
      <c r="U4" s="303"/>
      <c r="V4" s="303"/>
      <c r="W4" s="303"/>
      <c r="X4" s="303"/>
      <c r="Y4" s="303"/>
      <c r="Z4" s="303"/>
      <c r="AA4" s="303"/>
      <c r="AB4" s="303"/>
      <c r="AC4" s="303"/>
      <c r="AD4"/>
      <c r="AE4"/>
      <c r="AF4"/>
      <c r="AG4"/>
      <c r="AH4"/>
      <c r="AI4"/>
      <c r="AJ4"/>
      <c r="AK4"/>
      <c r="AL4"/>
    </row>
    <row r="5" spans="1:50" s="23" customFormat="1" ht="18" customHeight="1" thickBot="1">
      <c r="A5" s="303"/>
      <c r="B5" s="303"/>
      <c r="C5" s="303"/>
      <c r="D5" s="303"/>
      <c r="E5" s="303"/>
      <c r="F5" s="303"/>
      <c r="G5" s="303"/>
      <c r="H5" s="303"/>
      <c r="I5" s="303"/>
      <c r="J5" s="303"/>
      <c r="K5" s="304"/>
      <c r="L5" s="303"/>
      <c r="M5" s="170"/>
      <c r="N5" s="170"/>
      <c r="O5" s="170"/>
      <c r="P5" s="170"/>
      <c r="Q5" s="170"/>
      <c r="R5" s="170"/>
      <c r="S5" s="170"/>
      <c r="T5" s="170"/>
      <c r="U5" s="303"/>
      <c r="V5" s="303"/>
      <c r="W5" s="303"/>
      <c r="X5" s="303"/>
      <c r="Y5" s="303"/>
      <c r="Z5" s="303"/>
      <c r="AA5" s="303"/>
      <c r="AB5" s="303"/>
      <c r="AC5" s="303"/>
      <c r="AD5"/>
      <c r="AE5"/>
      <c r="AF5"/>
      <c r="AG5"/>
      <c r="AH5"/>
      <c r="AI5"/>
      <c r="AJ5"/>
      <c r="AK5"/>
      <c r="AL5"/>
    </row>
    <row r="6" spans="1:50" s="23" customFormat="1">
      <c r="A6" s="303"/>
      <c r="B6" s="303"/>
      <c r="C6" s="303"/>
      <c r="D6" s="641" t="s">
        <v>153</v>
      </c>
      <c r="E6" s="638"/>
      <c r="F6" s="637" t="s">
        <v>154</v>
      </c>
      <c r="G6" s="638"/>
      <c r="H6" s="631" t="s">
        <v>155</v>
      </c>
      <c r="I6" s="632"/>
      <c r="J6" s="303"/>
      <c r="K6" s="303"/>
      <c r="L6" s="303"/>
      <c r="M6" s="303"/>
      <c r="N6" s="303"/>
      <c r="O6" s="303"/>
      <c r="P6" s="303"/>
      <c r="Q6" s="303"/>
      <c r="R6" s="303"/>
      <c r="S6" s="303"/>
      <c r="T6" s="303"/>
      <c r="U6" s="303"/>
      <c r="V6" s="303"/>
      <c r="W6" s="303"/>
      <c r="X6" s="303"/>
      <c r="Y6" s="303"/>
      <c r="Z6" s="303"/>
      <c r="AA6" s="303"/>
      <c r="AB6" s="303"/>
      <c r="AC6" s="303"/>
      <c r="AD6"/>
      <c r="AE6"/>
      <c r="AF6"/>
      <c r="AG6"/>
      <c r="AH6"/>
      <c r="AI6"/>
      <c r="AJ6"/>
      <c r="AK6"/>
      <c r="AL6"/>
    </row>
    <row r="7" spans="1:50" s="23" customFormat="1">
      <c r="A7" s="303"/>
      <c r="B7" s="303"/>
      <c r="C7" s="303"/>
      <c r="D7" s="642"/>
      <c r="E7" s="643"/>
      <c r="F7" s="639"/>
      <c r="G7" s="640"/>
      <c r="H7" s="633"/>
      <c r="I7" s="634"/>
      <c r="J7" s="303"/>
      <c r="K7" s="303"/>
      <c r="L7" s="303"/>
      <c r="M7" s="303"/>
      <c r="N7" s="303"/>
      <c r="O7" s="303"/>
      <c r="P7" s="303"/>
      <c r="Q7" s="303"/>
      <c r="R7" s="303"/>
      <c r="S7" s="303"/>
      <c r="T7" s="303"/>
      <c r="U7" s="303"/>
      <c r="V7" s="303"/>
      <c r="W7" s="303"/>
      <c r="X7" s="303"/>
      <c r="Y7" s="303"/>
      <c r="Z7" s="303"/>
      <c r="AA7" s="303"/>
      <c r="AB7" s="303"/>
      <c r="AC7" s="303"/>
      <c r="AD7"/>
      <c r="AE7"/>
      <c r="AF7"/>
      <c r="AG7"/>
      <c r="AH7"/>
      <c r="AI7"/>
      <c r="AJ7"/>
      <c r="AK7"/>
      <c r="AL7"/>
    </row>
    <row r="8" spans="1:50" s="23" customFormat="1" ht="15" customHeight="1">
      <c r="A8" s="303"/>
      <c r="B8" s="303"/>
      <c r="C8" s="308"/>
      <c r="D8" s="166" t="s">
        <v>156</v>
      </c>
      <c r="E8" s="169" t="s">
        <v>157</v>
      </c>
      <c r="F8" s="635" t="s">
        <v>158</v>
      </c>
      <c r="G8" s="635" t="s">
        <v>159</v>
      </c>
      <c r="H8" s="633"/>
      <c r="I8" s="634"/>
      <c r="J8" s="303"/>
      <c r="K8" s="303"/>
      <c r="L8" s="303"/>
      <c r="M8" s="303"/>
      <c r="N8" s="303"/>
      <c r="O8" s="303"/>
      <c r="P8" s="303"/>
      <c r="Q8" s="303"/>
      <c r="R8" s="303"/>
      <c r="S8" s="303"/>
      <c r="T8" s="303"/>
      <c r="U8" s="303"/>
      <c r="V8" s="303"/>
      <c r="W8" s="303"/>
      <c r="X8" s="303"/>
      <c r="Y8" s="303"/>
      <c r="Z8" s="303"/>
      <c r="AA8" s="303"/>
      <c r="AB8" s="303"/>
      <c r="AC8" s="303"/>
      <c r="AD8"/>
      <c r="AE8"/>
      <c r="AF8"/>
      <c r="AG8"/>
      <c r="AH8"/>
      <c r="AI8"/>
      <c r="AJ8"/>
      <c r="AK8"/>
      <c r="AL8"/>
    </row>
    <row r="9" spans="1:50" s="81" customFormat="1" ht="22.7" customHeight="1" thickBot="1">
      <c r="A9" s="305"/>
      <c r="B9" s="305"/>
      <c r="C9" s="305"/>
      <c r="D9" s="167" t="s">
        <v>160</v>
      </c>
      <c r="E9" s="168" t="s">
        <v>161</v>
      </c>
      <c r="F9" s="636"/>
      <c r="G9" s="636"/>
      <c r="H9" s="184" t="s">
        <v>160</v>
      </c>
      <c r="I9" s="185" t="s">
        <v>161</v>
      </c>
      <c r="J9" s="305"/>
      <c r="K9" s="305"/>
      <c r="L9" s="303"/>
      <c r="M9" s="303"/>
      <c r="N9" s="303"/>
      <c r="O9" s="303"/>
      <c r="P9" s="303"/>
      <c r="Q9" s="303"/>
      <c r="R9" s="303"/>
      <c r="S9" s="303"/>
      <c r="T9" s="303"/>
      <c r="U9" s="305"/>
      <c r="V9" s="305"/>
      <c r="W9" s="305"/>
      <c r="X9" s="305"/>
      <c r="Y9" s="305"/>
      <c r="Z9" s="305"/>
      <c r="AA9" s="305"/>
      <c r="AB9" s="305"/>
      <c r="AC9" s="305"/>
      <c r="AD9" s="12"/>
      <c r="AE9" s="12"/>
      <c r="AF9" s="12"/>
      <c r="AG9" s="12"/>
      <c r="AH9" s="12"/>
      <c r="AI9" s="12"/>
      <c r="AJ9" s="12"/>
      <c r="AK9" s="12"/>
      <c r="AL9" s="12"/>
    </row>
    <row r="10" spans="1:50" ht="22.7" customHeight="1">
      <c r="A10" s="302"/>
      <c r="B10" s="645" t="s">
        <v>162</v>
      </c>
      <c r="C10" s="172" t="s">
        <v>163</v>
      </c>
      <c r="D10" s="144">
        <f>'HM 2'!C26</f>
        <v>2.0813534458679515</v>
      </c>
      <c r="E10" s="142"/>
      <c r="F10" s="174"/>
      <c r="G10" s="143"/>
      <c r="H10" s="147">
        <f>D10</f>
        <v>2.0813534458679515</v>
      </c>
      <c r="I10" s="150">
        <f>D10*F$12</f>
        <v>2.7057594796283371</v>
      </c>
      <c r="J10" s="302"/>
      <c r="K10" s="303"/>
      <c r="L10" s="303"/>
      <c r="M10" s="303"/>
      <c r="N10" s="303"/>
      <c r="O10" s="303"/>
      <c r="P10" s="303"/>
      <c r="Q10" s="303"/>
      <c r="R10" s="303"/>
      <c r="S10" s="303"/>
      <c r="T10" s="303"/>
      <c r="U10" s="303"/>
      <c r="V10" s="303"/>
      <c r="W10" s="303"/>
      <c r="X10" s="303"/>
      <c r="Y10" s="303"/>
      <c r="Z10" s="303"/>
      <c r="AA10" s="303"/>
      <c r="AB10" s="303"/>
      <c r="AC10" s="303"/>
    </row>
    <row r="11" spans="1:50" ht="22.7" customHeight="1">
      <c r="A11" s="303"/>
      <c r="B11" s="646"/>
      <c r="C11" s="173" t="s">
        <v>164</v>
      </c>
      <c r="D11" s="145">
        <f>'HM 2'!J14</f>
        <v>23.813715449864986</v>
      </c>
      <c r="E11" s="139"/>
      <c r="F11" s="152" t="s">
        <v>165</v>
      </c>
      <c r="G11" s="140"/>
      <c r="H11" s="148">
        <f>D11</f>
        <v>23.813715449864986</v>
      </c>
      <c r="I11" s="151">
        <f>D11*F$12</f>
        <v>30.957830084824483</v>
      </c>
      <c r="J11" s="303"/>
      <c r="K11" s="303"/>
      <c r="L11" s="303"/>
      <c r="M11" s="303"/>
      <c r="N11" s="303"/>
      <c r="O11" s="303"/>
      <c r="P11" s="303"/>
      <c r="Q11" s="303"/>
      <c r="R11" s="303"/>
      <c r="S11" s="303"/>
      <c r="T11" s="303"/>
      <c r="U11" s="303"/>
      <c r="V11" s="303"/>
      <c r="W11" s="303"/>
      <c r="X11" s="303"/>
      <c r="Y11" s="303"/>
      <c r="Z11" s="303"/>
      <c r="AA11" s="303"/>
      <c r="AB11" s="303"/>
      <c r="AC11" s="303"/>
    </row>
    <row r="12" spans="1:50" ht="22.7" customHeight="1">
      <c r="A12" s="303"/>
      <c r="B12" s="646"/>
      <c r="C12" s="173" t="s">
        <v>166</v>
      </c>
      <c r="D12" s="145">
        <f>'HM 2'!J26</f>
        <v>1.1666666666666667</v>
      </c>
      <c r="E12" s="139"/>
      <c r="F12" s="153">
        <v>1.3</v>
      </c>
      <c r="G12" s="140"/>
      <c r="H12" s="148">
        <f>D12</f>
        <v>1.1666666666666667</v>
      </c>
      <c r="I12" s="151">
        <f>D12*F$12</f>
        <v>1.5166666666666668</v>
      </c>
      <c r="J12" s="303"/>
      <c r="K12" s="303"/>
      <c r="L12" s="303"/>
      <c r="M12" s="303"/>
      <c r="N12" s="303"/>
      <c r="O12" s="303"/>
      <c r="P12" s="303"/>
      <c r="Q12" s="303"/>
      <c r="R12" s="303"/>
      <c r="S12" s="303"/>
      <c r="T12" s="303"/>
      <c r="U12" s="303"/>
      <c r="V12" s="303"/>
      <c r="W12" s="303"/>
      <c r="X12" s="303"/>
      <c r="Y12" s="303"/>
      <c r="Z12" s="303"/>
      <c r="AA12" s="303"/>
      <c r="AB12" s="303"/>
      <c r="AC12" s="303"/>
    </row>
    <row r="13" spans="1:50" ht="22.7" customHeight="1">
      <c r="A13" s="303"/>
      <c r="B13" s="646"/>
      <c r="C13" s="294" t="s">
        <v>167</v>
      </c>
      <c r="D13" s="295"/>
      <c r="E13" s="296"/>
      <c r="F13" s="297"/>
      <c r="G13" s="298"/>
      <c r="H13" s="299">
        <f>D13</f>
        <v>0</v>
      </c>
      <c r="I13" s="300">
        <f>D13*F$12</f>
        <v>0</v>
      </c>
      <c r="J13" s="303"/>
      <c r="K13" s="303"/>
      <c r="L13" s="303"/>
      <c r="M13" s="303"/>
      <c r="N13" s="303"/>
      <c r="O13" s="303"/>
      <c r="P13" s="303"/>
      <c r="Q13" s="303"/>
      <c r="R13" s="303"/>
      <c r="S13" s="303"/>
      <c r="T13" s="303"/>
      <c r="U13" s="303"/>
      <c r="V13" s="303"/>
      <c r="W13" s="303"/>
      <c r="X13" s="303"/>
      <c r="Y13" s="303"/>
      <c r="Z13" s="303"/>
      <c r="AA13" s="303"/>
      <c r="AB13" s="303"/>
      <c r="AC13" s="303"/>
    </row>
    <row r="14" spans="1:50" ht="22.7" customHeight="1" thickBot="1">
      <c r="A14" s="303"/>
      <c r="B14" s="646"/>
      <c r="C14" s="173" t="s">
        <v>168</v>
      </c>
      <c r="D14" s="146">
        <f>'HM 2'!Q22</f>
        <v>0</v>
      </c>
      <c r="E14" s="139"/>
      <c r="F14" s="141"/>
      <c r="G14" s="140"/>
      <c r="H14" s="164">
        <f>D14</f>
        <v>0</v>
      </c>
      <c r="I14" s="165">
        <f>D14*F$12</f>
        <v>0</v>
      </c>
      <c r="J14" s="303"/>
      <c r="K14" s="306" t="s">
        <v>169</v>
      </c>
      <c r="L14" s="303"/>
      <c r="M14" s="303"/>
      <c r="N14" s="303"/>
      <c r="O14" s="303"/>
      <c r="P14" s="303"/>
      <c r="Q14" s="303"/>
      <c r="R14" s="303"/>
      <c r="S14" s="303"/>
      <c r="T14" s="303"/>
      <c r="U14" s="303"/>
      <c r="V14" s="303"/>
      <c r="W14" s="303"/>
      <c r="X14" s="303"/>
      <c r="Y14" s="303"/>
      <c r="Z14" s="303"/>
      <c r="AA14" s="303"/>
      <c r="AB14" s="303"/>
      <c r="AC14" s="303"/>
    </row>
    <row r="15" spans="1:50" s="23" customFormat="1" ht="22.7" customHeight="1">
      <c r="A15" s="303"/>
      <c r="B15" s="646"/>
      <c r="C15" s="171" t="s">
        <v>170</v>
      </c>
      <c r="D15" s="161"/>
      <c r="E15" s="160"/>
      <c r="F15" s="157"/>
      <c r="G15" s="158"/>
      <c r="H15" s="162">
        <f>SUM(H10:H14)</f>
        <v>27.061735562399605</v>
      </c>
      <c r="I15" s="163">
        <f>SUM(I10:I14)</f>
        <v>35.180256231119486</v>
      </c>
      <c r="J15" s="303"/>
      <c r="K15" s="303"/>
      <c r="L15" s="303"/>
      <c r="M15" s="303"/>
      <c r="N15" s="303"/>
      <c r="O15" s="303"/>
      <c r="P15" s="303"/>
      <c r="Q15" s="303"/>
      <c r="R15" s="303"/>
      <c r="S15" s="303"/>
      <c r="T15" s="303"/>
      <c r="U15" s="303"/>
      <c r="V15" s="303"/>
      <c r="W15" s="303"/>
      <c r="X15" s="303"/>
      <c r="Y15" s="303"/>
      <c r="Z15" s="303"/>
      <c r="AA15" s="303"/>
      <c r="AB15" s="303"/>
      <c r="AC15" s="303"/>
      <c r="AD15"/>
      <c r="AE15"/>
      <c r="AF15"/>
      <c r="AG15"/>
      <c r="AH15"/>
      <c r="AI15"/>
      <c r="AJ15"/>
      <c r="AK15"/>
      <c r="AL15"/>
    </row>
    <row r="16" spans="1:50" s="23" customFormat="1" ht="22.7" customHeight="1" thickBot="1">
      <c r="A16" s="303"/>
      <c r="B16" s="647"/>
      <c r="C16" s="175" t="s">
        <v>171</v>
      </c>
      <c r="D16" s="176"/>
      <c r="E16" s="177"/>
      <c r="F16" s="178"/>
      <c r="G16" s="179"/>
      <c r="H16" s="180">
        <f>3600/(H15/'HOGSTMASKIN (G0)'!$C$23)</f>
        <v>13.68870579251195</v>
      </c>
      <c r="I16" s="181">
        <f>3600/(I15/'HM 2'!$C$23)</f>
        <v>11.917684986906945</v>
      </c>
      <c r="J16" s="303"/>
      <c r="K16" s="303"/>
      <c r="L16" s="303"/>
      <c r="M16" s="303"/>
      <c r="N16" s="303"/>
      <c r="O16" s="303"/>
      <c r="P16" s="303"/>
      <c r="Q16" s="303"/>
      <c r="R16" s="303"/>
      <c r="S16" s="303"/>
      <c r="T16" s="303"/>
      <c r="U16" s="303"/>
      <c r="V16" s="312"/>
      <c r="W16" s="303"/>
      <c r="X16" s="303"/>
      <c r="Y16" s="303"/>
      <c r="Z16" s="303"/>
      <c r="AA16" s="303"/>
      <c r="AB16" s="303"/>
      <c r="AC16" s="303"/>
      <c r="AD16"/>
      <c r="AE16"/>
      <c r="AF16"/>
      <c r="AG16"/>
      <c r="AH16"/>
      <c r="AI16"/>
      <c r="AJ16"/>
      <c r="AK16"/>
      <c r="AL16"/>
      <c r="AM16"/>
      <c r="AN16"/>
      <c r="AO16"/>
      <c r="AP16"/>
      <c r="AQ16"/>
      <c r="AR16"/>
      <c r="AS16"/>
      <c r="AT16"/>
      <c r="AU16"/>
      <c r="AV16"/>
      <c r="AW16"/>
      <c r="AX16"/>
    </row>
    <row r="17" spans="1:50" s="23" customFormat="1" ht="19.5" customHeight="1" thickBo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c r="AE17"/>
      <c r="AF17"/>
      <c r="AG17"/>
      <c r="AH17"/>
      <c r="AI17"/>
      <c r="AJ17"/>
      <c r="AK17"/>
      <c r="AL17"/>
      <c r="AM17"/>
      <c r="AN17"/>
      <c r="AO17"/>
      <c r="AP17"/>
      <c r="AQ17"/>
      <c r="AR17"/>
      <c r="AS17"/>
      <c r="AT17"/>
      <c r="AU17"/>
      <c r="AV17"/>
      <c r="AW17"/>
      <c r="AX17"/>
    </row>
    <row r="18" spans="1:50" s="23" customFormat="1">
      <c r="A18" s="303"/>
      <c r="B18" s="303"/>
      <c r="C18" s="303"/>
      <c r="D18" s="641" t="s">
        <v>153</v>
      </c>
      <c r="E18" s="638"/>
      <c r="F18" s="637" t="s">
        <v>154</v>
      </c>
      <c r="G18" s="638"/>
      <c r="H18" s="631" t="s">
        <v>155</v>
      </c>
      <c r="I18" s="632"/>
      <c r="J18" s="303"/>
      <c r="K18" s="303"/>
      <c r="L18" s="303"/>
      <c r="M18" s="303"/>
      <c r="N18" s="303"/>
      <c r="O18" s="303"/>
      <c r="P18" s="303"/>
      <c r="Q18" s="303"/>
      <c r="R18" s="303"/>
      <c r="S18" s="303"/>
      <c r="T18" s="303"/>
      <c r="U18" s="303"/>
      <c r="V18" s="303"/>
      <c r="W18" s="303"/>
      <c r="X18" s="303"/>
      <c r="Y18" s="303"/>
      <c r="Z18" s="303"/>
      <c r="AA18" s="303"/>
      <c r="AB18" s="303"/>
      <c r="AC18" s="303"/>
      <c r="AD18"/>
      <c r="AE18"/>
      <c r="AF18"/>
      <c r="AG18"/>
      <c r="AH18"/>
      <c r="AI18"/>
      <c r="AJ18"/>
      <c r="AK18"/>
      <c r="AL18"/>
      <c r="AM18"/>
      <c r="AN18"/>
      <c r="AO18"/>
      <c r="AP18"/>
      <c r="AQ18"/>
      <c r="AR18"/>
      <c r="AS18"/>
      <c r="AT18"/>
      <c r="AU18"/>
      <c r="AV18"/>
      <c r="AW18"/>
      <c r="AX18"/>
    </row>
    <row r="19" spans="1:50" s="23" customFormat="1">
      <c r="A19" s="303"/>
      <c r="B19" s="303"/>
      <c r="C19" s="303"/>
      <c r="D19" s="642"/>
      <c r="E19" s="643"/>
      <c r="F19" s="639"/>
      <c r="G19" s="640"/>
      <c r="H19" s="633"/>
      <c r="I19" s="634"/>
      <c r="J19" s="303"/>
      <c r="K19" s="303"/>
      <c r="L19" s="303"/>
      <c r="M19" s="303"/>
      <c r="N19" s="303"/>
      <c r="O19" s="303"/>
      <c r="P19" s="303"/>
      <c r="Q19" s="303"/>
      <c r="R19" s="303"/>
      <c r="S19" s="303"/>
      <c r="T19" s="303"/>
      <c r="U19" s="303"/>
      <c r="V19" s="303"/>
      <c r="W19" s="303"/>
      <c r="X19" s="303"/>
      <c r="Y19" s="303"/>
      <c r="Z19" s="303"/>
      <c r="AA19" s="303"/>
      <c r="AB19" s="303"/>
      <c r="AC19" s="303"/>
      <c r="AD19"/>
      <c r="AE19"/>
      <c r="AF19"/>
      <c r="AG19"/>
      <c r="AH19"/>
      <c r="AI19"/>
      <c r="AJ19"/>
      <c r="AK19"/>
      <c r="AL19"/>
      <c r="AM19"/>
      <c r="AN19"/>
      <c r="AO19"/>
      <c r="AP19"/>
      <c r="AQ19"/>
      <c r="AR19"/>
      <c r="AS19"/>
      <c r="AT19"/>
      <c r="AU19"/>
      <c r="AV19"/>
      <c r="AW19"/>
      <c r="AX19"/>
    </row>
    <row r="20" spans="1:50" s="23" customFormat="1" ht="15" customHeight="1">
      <c r="A20" s="303"/>
      <c r="B20" s="303"/>
      <c r="C20" s="308"/>
      <c r="D20" s="166" t="s">
        <v>157</v>
      </c>
      <c r="E20" s="169" t="s">
        <v>172</v>
      </c>
      <c r="F20" s="635" t="s">
        <v>158</v>
      </c>
      <c r="G20" s="635" t="s">
        <v>159</v>
      </c>
      <c r="H20" s="633"/>
      <c r="I20" s="634"/>
      <c r="J20" s="303"/>
      <c r="K20" s="303"/>
      <c r="L20" s="303"/>
      <c r="M20" s="303"/>
      <c r="N20" s="303"/>
      <c r="O20" s="303"/>
      <c r="P20" s="303"/>
      <c r="Q20" s="303"/>
      <c r="R20" s="303"/>
      <c r="S20" s="303"/>
      <c r="T20" s="303"/>
      <c r="U20" s="303"/>
      <c r="V20" s="303"/>
      <c r="W20" s="303"/>
      <c r="X20" s="303"/>
      <c r="Y20" s="303"/>
      <c r="Z20" s="303"/>
      <c r="AA20" s="303"/>
      <c r="AB20" s="303"/>
      <c r="AC20" s="303"/>
      <c r="AD20"/>
      <c r="AE20"/>
      <c r="AF20"/>
      <c r="AG20"/>
      <c r="AH20"/>
      <c r="AI20"/>
      <c r="AJ20"/>
      <c r="AK20"/>
      <c r="AL20"/>
      <c r="AM20"/>
      <c r="AN20"/>
      <c r="AO20"/>
      <c r="AP20"/>
      <c r="AQ20"/>
      <c r="AR20"/>
      <c r="AS20"/>
      <c r="AT20"/>
      <c r="AU20"/>
      <c r="AV20"/>
      <c r="AW20"/>
      <c r="AX20"/>
    </row>
    <row r="21" spans="1:50" s="81" customFormat="1" ht="22.7" customHeight="1" thickBot="1">
      <c r="A21" s="305"/>
      <c r="B21" s="305"/>
      <c r="C21" s="305"/>
      <c r="D21" s="167" t="s">
        <v>160</v>
      </c>
      <c r="E21" s="168" t="s">
        <v>161</v>
      </c>
      <c r="F21" s="644"/>
      <c r="G21" s="644"/>
      <c r="H21" s="184" t="s">
        <v>160</v>
      </c>
      <c r="I21" s="185" t="s">
        <v>161</v>
      </c>
      <c r="J21" s="305"/>
      <c r="K21" s="305"/>
      <c r="L21" s="303"/>
      <c r="M21" s="303"/>
      <c r="N21" s="303"/>
      <c r="O21" s="303"/>
      <c r="P21" s="303"/>
      <c r="Q21" s="303"/>
      <c r="R21" s="303"/>
      <c r="S21" s="303"/>
      <c r="T21" s="303"/>
      <c r="U21" s="305"/>
      <c r="V21" s="305"/>
      <c r="W21" s="305"/>
      <c r="X21" s="305"/>
      <c r="Y21" s="305"/>
      <c r="Z21" s="305"/>
      <c r="AA21" s="305"/>
      <c r="AB21" s="305"/>
      <c r="AC21" s="305"/>
      <c r="AD21" s="12"/>
      <c r="AE21" s="12"/>
      <c r="AF21" s="12"/>
      <c r="AG21" s="12"/>
      <c r="AH21" s="12"/>
      <c r="AI21" s="12"/>
      <c r="AJ21" s="12"/>
      <c r="AK21" s="12"/>
      <c r="AL21" s="12"/>
      <c r="AM21" s="12"/>
      <c r="AN21" s="12"/>
      <c r="AO21" s="12"/>
      <c r="AP21" s="12"/>
      <c r="AQ21" s="12"/>
      <c r="AR21" s="12"/>
      <c r="AS21" s="12"/>
      <c r="AT21" s="12"/>
      <c r="AU21" s="12"/>
      <c r="AV21" s="12"/>
      <c r="AW21" s="12"/>
      <c r="AX21" s="12"/>
    </row>
    <row r="22" spans="1:50" ht="22.7" customHeight="1">
      <c r="A22" s="303"/>
      <c r="B22" s="648" t="s">
        <v>101</v>
      </c>
      <c r="C22" s="159" t="s">
        <v>173</v>
      </c>
      <c r="D22" s="142"/>
      <c r="E22" s="144">
        <f>'LB 2'!C27</f>
        <v>28.533705411434493</v>
      </c>
      <c r="F22" s="143"/>
      <c r="G22" s="79"/>
      <c r="H22" s="183">
        <f t="shared" ref="H22:H27" si="0">E22*G$25</f>
        <v>22.826964329147597</v>
      </c>
      <c r="I22" s="150">
        <f t="shared" ref="I22:I27" si="1">E22</f>
        <v>28.533705411434493</v>
      </c>
      <c r="J22" s="303"/>
      <c r="K22" s="303"/>
      <c r="L22" s="303"/>
      <c r="M22" s="303"/>
      <c r="N22" s="303"/>
      <c r="O22" s="303"/>
      <c r="P22" s="303"/>
      <c r="Q22" s="303"/>
      <c r="R22" s="303"/>
      <c r="S22" s="303"/>
      <c r="T22" s="303"/>
      <c r="U22" s="303"/>
      <c r="V22" s="303"/>
      <c r="W22" s="303"/>
      <c r="X22" s="303"/>
      <c r="Y22" s="303"/>
      <c r="Z22" s="303"/>
      <c r="AA22" s="303"/>
      <c r="AB22" s="303"/>
      <c r="AC22" s="303"/>
    </row>
    <row r="23" spans="1:50" ht="22.7" customHeight="1">
      <c r="A23" s="303"/>
      <c r="B23" s="649"/>
      <c r="C23" s="81" t="s">
        <v>174</v>
      </c>
      <c r="D23" s="139"/>
      <c r="E23" s="145">
        <f>'LB 2'!J20</f>
        <v>4.3948345023181563</v>
      </c>
      <c r="F23" s="140"/>
      <c r="G23" s="152" t="s">
        <v>175</v>
      </c>
      <c r="H23" s="149">
        <f t="shared" si="0"/>
        <v>3.5158676018545254</v>
      </c>
      <c r="I23" s="151">
        <f t="shared" si="1"/>
        <v>4.3948345023181563</v>
      </c>
      <c r="J23" s="303"/>
      <c r="K23" s="303"/>
      <c r="L23" s="303"/>
      <c r="M23" s="303"/>
      <c r="N23" s="303"/>
      <c r="O23" s="303"/>
      <c r="P23" s="303"/>
      <c r="Q23" s="303"/>
      <c r="R23" s="303"/>
      <c r="S23" s="303"/>
      <c r="T23" s="303"/>
      <c r="U23" s="303"/>
      <c r="V23" s="303"/>
      <c r="W23" s="303"/>
      <c r="X23" s="303"/>
      <c r="Y23" s="303"/>
      <c r="Z23" s="303"/>
      <c r="AA23" s="303"/>
      <c r="AB23" s="303"/>
      <c r="AC23" s="303"/>
    </row>
    <row r="24" spans="1:50" ht="22.7" customHeight="1">
      <c r="A24" s="303"/>
      <c r="B24" s="649"/>
      <c r="C24" s="81" t="s">
        <v>176</v>
      </c>
      <c r="D24" s="139"/>
      <c r="E24" s="145">
        <f>'LB 2'!J37</f>
        <v>0</v>
      </c>
      <c r="F24" s="140"/>
      <c r="G24" s="152"/>
      <c r="H24" s="149">
        <f t="shared" si="0"/>
        <v>0</v>
      </c>
      <c r="I24" s="151">
        <f t="shared" si="1"/>
        <v>0</v>
      </c>
      <c r="J24" s="303"/>
      <c r="K24" s="303"/>
      <c r="L24" s="303"/>
      <c r="M24" s="303"/>
      <c r="N24" s="303"/>
      <c r="O24" s="303"/>
      <c r="P24" s="303"/>
      <c r="Q24" s="303"/>
      <c r="R24" s="303"/>
      <c r="S24" s="303"/>
      <c r="T24" s="303"/>
      <c r="U24" s="303"/>
      <c r="V24" s="303"/>
      <c r="W24" s="303"/>
      <c r="X24" s="303"/>
      <c r="Y24" s="303"/>
      <c r="Z24" s="303"/>
      <c r="AA24" s="303"/>
      <c r="AB24" s="303"/>
      <c r="AC24" s="303"/>
    </row>
    <row r="25" spans="1:50" ht="22.7" customHeight="1">
      <c r="A25" s="303"/>
      <c r="B25" s="649"/>
      <c r="C25" s="81" t="s">
        <v>177</v>
      </c>
      <c r="D25" s="139"/>
      <c r="E25" s="295">
        <f>'LB 2'!Q13</f>
        <v>-0.46443007677275527</v>
      </c>
      <c r="F25" s="140"/>
      <c r="G25" s="153">
        <v>0.8</v>
      </c>
      <c r="H25" s="149">
        <f t="shared" si="0"/>
        <v>-0.37154406141820423</v>
      </c>
      <c r="I25" s="151">
        <f t="shared" si="1"/>
        <v>-0.46443007677275527</v>
      </c>
      <c r="J25" s="303"/>
      <c r="K25" s="303"/>
      <c r="L25" s="303"/>
      <c r="M25" s="303"/>
      <c r="N25" s="303"/>
      <c r="O25" s="303"/>
      <c r="P25" s="303"/>
      <c r="Q25" s="303"/>
      <c r="R25" s="303"/>
      <c r="S25" s="303"/>
      <c r="T25" s="303"/>
      <c r="U25" s="303"/>
      <c r="V25" s="303"/>
      <c r="W25" s="303"/>
      <c r="X25" s="303"/>
      <c r="Y25" s="303"/>
      <c r="Z25" s="303"/>
      <c r="AA25" s="303"/>
      <c r="AB25" s="303"/>
      <c r="AC25" s="303"/>
    </row>
    <row r="26" spans="1:50" ht="22.7" customHeight="1">
      <c r="A26" s="303"/>
      <c r="B26" s="649"/>
      <c r="C26" s="81" t="s">
        <v>178</v>
      </c>
      <c r="D26" s="139"/>
      <c r="E26" s="146">
        <f>'LB 2'!Q24</f>
        <v>2.0963360576057606</v>
      </c>
      <c r="F26" s="140"/>
      <c r="G26" s="154"/>
      <c r="H26" s="149">
        <f t="shared" si="0"/>
        <v>1.6770688460846086</v>
      </c>
      <c r="I26" s="151">
        <f t="shared" si="1"/>
        <v>2.0963360576057606</v>
      </c>
      <c r="J26" s="303"/>
      <c r="K26" s="303"/>
      <c r="L26" s="303"/>
      <c r="M26" s="303"/>
      <c r="N26" s="303"/>
      <c r="O26" s="303"/>
      <c r="P26" s="303"/>
      <c r="Q26" s="303"/>
      <c r="R26" s="303"/>
      <c r="S26" s="303"/>
      <c r="T26" s="303"/>
      <c r="U26" s="303"/>
      <c r="V26" s="303"/>
      <c r="W26" s="303"/>
      <c r="X26" s="303"/>
      <c r="Y26" s="303"/>
      <c r="Z26" s="303"/>
      <c r="AA26" s="303"/>
      <c r="AB26" s="303"/>
      <c r="AC26" s="303"/>
    </row>
    <row r="27" spans="1:50" ht="22.7" customHeight="1" thickBot="1">
      <c r="A27" s="303"/>
      <c r="B27" s="649"/>
      <c r="C27" s="81" t="s">
        <v>179</v>
      </c>
      <c r="D27" s="139"/>
      <c r="E27" s="146">
        <f>'LB 2'!Q34</f>
        <v>0.87347335733573361</v>
      </c>
      <c r="F27" s="140"/>
      <c r="G27" s="155"/>
      <c r="H27" s="182">
        <f t="shared" si="0"/>
        <v>0.69877868586858694</v>
      </c>
      <c r="I27" s="165">
        <f t="shared" si="1"/>
        <v>0.87347335733573361</v>
      </c>
      <c r="J27" s="303"/>
      <c r="K27" s="303"/>
      <c r="L27" s="303"/>
      <c r="M27" s="303"/>
      <c r="N27" s="303"/>
      <c r="O27" s="303"/>
      <c r="P27" s="303"/>
      <c r="Q27" s="303"/>
      <c r="R27" s="303"/>
      <c r="S27" s="303"/>
      <c r="T27" s="303"/>
      <c r="U27" s="303"/>
      <c r="V27" s="303"/>
      <c r="W27" s="303"/>
      <c r="X27" s="303"/>
      <c r="Y27" s="303"/>
      <c r="Z27" s="303"/>
      <c r="AA27" s="303"/>
      <c r="AB27" s="303"/>
      <c r="AC27" s="303"/>
    </row>
    <row r="28" spans="1:50" s="23" customFormat="1" ht="22.7" customHeight="1">
      <c r="A28" s="303"/>
      <c r="B28" s="649"/>
      <c r="C28" s="156" t="s">
        <v>170</v>
      </c>
      <c r="D28" s="161"/>
      <c r="E28" s="160"/>
      <c r="F28" s="157"/>
      <c r="G28" s="158"/>
      <c r="H28" s="162">
        <f>SUM(H22:H27)</f>
        <v>28.347135401537113</v>
      </c>
      <c r="I28" s="163">
        <f>SUM(I22:I27)</f>
        <v>35.433919251921388</v>
      </c>
      <c r="J28" s="303"/>
      <c r="K28" s="303"/>
      <c r="L28" s="303"/>
      <c r="M28" s="303"/>
      <c r="N28" s="303"/>
      <c r="O28" s="303"/>
      <c r="P28" s="303"/>
      <c r="Q28" s="303"/>
      <c r="R28" s="303"/>
      <c r="S28" s="303"/>
      <c r="T28" s="303"/>
      <c r="U28" s="303"/>
      <c r="V28" s="303"/>
      <c r="W28" s="303"/>
      <c r="X28" s="303"/>
      <c r="Y28" s="303"/>
      <c r="Z28" s="303"/>
      <c r="AA28" s="303"/>
      <c r="AB28" s="303"/>
      <c r="AC28" s="303"/>
      <c r="AD28"/>
      <c r="AE28"/>
      <c r="AF28"/>
      <c r="AG28"/>
      <c r="AH28"/>
      <c r="AI28"/>
      <c r="AJ28"/>
      <c r="AK28"/>
      <c r="AL28"/>
      <c r="AM28"/>
      <c r="AN28"/>
      <c r="AO28"/>
      <c r="AP28"/>
      <c r="AQ28"/>
      <c r="AR28"/>
      <c r="AS28"/>
      <c r="AT28"/>
      <c r="AU28"/>
      <c r="AV28"/>
      <c r="AW28"/>
      <c r="AX28"/>
    </row>
    <row r="29" spans="1:50" s="23" customFormat="1" ht="22.7" customHeight="1" thickBot="1">
      <c r="A29" s="303"/>
      <c r="B29" s="650"/>
      <c r="C29" s="177" t="s">
        <v>171</v>
      </c>
      <c r="D29" s="176"/>
      <c r="E29" s="177"/>
      <c r="F29" s="178"/>
      <c r="G29" s="179"/>
      <c r="H29" s="180">
        <f>3600/(H28/'HM 2'!$C$23)</f>
        <v>14.790461384624336</v>
      </c>
      <c r="I29" s="181">
        <f>3600/(I28/'HM 2'!$C$23)</f>
        <v>11.832369107699471</v>
      </c>
      <c r="J29" s="303"/>
      <c r="K29" s="303"/>
      <c r="L29" s="303"/>
      <c r="M29" s="303"/>
      <c r="N29" s="303"/>
      <c r="O29" s="303"/>
      <c r="P29" s="303"/>
      <c r="Q29" s="303"/>
      <c r="R29" s="303"/>
      <c r="S29" s="303"/>
      <c r="T29" s="303"/>
      <c r="U29" s="303"/>
      <c r="V29" s="303"/>
      <c r="W29" s="303"/>
      <c r="X29" s="303"/>
      <c r="Y29" s="303"/>
      <c r="Z29" s="303"/>
      <c r="AA29" s="303"/>
      <c r="AB29" s="303"/>
      <c r="AC29" s="303"/>
      <c r="AD29"/>
      <c r="AE29"/>
      <c r="AF29"/>
      <c r="AG29"/>
      <c r="AH29"/>
      <c r="AI29"/>
      <c r="AJ29"/>
      <c r="AK29"/>
      <c r="AL29"/>
      <c r="AM29"/>
      <c r="AN29"/>
      <c r="AO29"/>
      <c r="AP29"/>
      <c r="AQ29"/>
      <c r="AR29"/>
      <c r="AS29"/>
      <c r="AT29"/>
      <c r="AU29"/>
      <c r="AV29"/>
      <c r="AW29"/>
      <c r="AX29"/>
    </row>
    <row r="30" spans="1:50" s="23" customForma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c r="AE30"/>
      <c r="AF30"/>
      <c r="AG30"/>
      <c r="AH30"/>
      <c r="AI30"/>
      <c r="AJ30"/>
      <c r="AK30"/>
      <c r="AL30"/>
      <c r="AM30"/>
      <c r="AN30"/>
      <c r="AO30"/>
      <c r="AP30"/>
      <c r="AQ30"/>
      <c r="AR30"/>
      <c r="AS30"/>
      <c r="AT30"/>
      <c r="AU30"/>
      <c r="AV30"/>
      <c r="AW30"/>
      <c r="AX30"/>
    </row>
    <row r="31" spans="1:50" s="23" customForma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c r="AE31"/>
      <c r="AF31"/>
      <c r="AG31"/>
      <c r="AH31"/>
      <c r="AI31"/>
      <c r="AJ31"/>
      <c r="AK31"/>
      <c r="AL31"/>
      <c r="AM31"/>
      <c r="AN31"/>
      <c r="AO31"/>
      <c r="AP31"/>
      <c r="AQ31"/>
      <c r="AR31"/>
      <c r="AS31"/>
      <c r="AT31"/>
      <c r="AU31"/>
      <c r="AV31"/>
      <c r="AW31"/>
      <c r="AX31"/>
    </row>
    <row r="32" spans="1:50" s="23" customFormat="1" ht="11.1" customHeight="1">
      <c r="A32" s="303"/>
      <c r="B32" s="307"/>
      <c r="C32" s="307"/>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c r="AE32"/>
      <c r="AF32"/>
      <c r="AG32"/>
      <c r="AH32"/>
      <c r="AI32"/>
      <c r="AJ32"/>
      <c r="AK32"/>
      <c r="AL32"/>
      <c r="AM32"/>
      <c r="AN32"/>
      <c r="AO32"/>
      <c r="AP32"/>
      <c r="AQ32"/>
      <c r="AR32"/>
      <c r="AS32"/>
      <c r="AT32"/>
      <c r="AU32"/>
      <c r="AV32"/>
      <c r="AW32"/>
      <c r="AX32"/>
    </row>
    <row r="33" spans="1:50" s="23" customFormat="1" ht="21">
      <c r="A33" s="303"/>
      <c r="B33" s="307"/>
      <c r="C33" s="307"/>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c r="AE33"/>
      <c r="AF33"/>
      <c r="AG33"/>
      <c r="AH33"/>
      <c r="AI33"/>
      <c r="AJ33"/>
      <c r="AK33"/>
      <c r="AL33"/>
      <c r="AM33"/>
      <c r="AN33"/>
      <c r="AO33"/>
      <c r="AP33"/>
      <c r="AQ33"/>
      <c r="AR33"/>
      <c r="AS33"/>
      <c r="AT33"/>
      <c r="AU33"/>
      <c r="AV33"/>
      <c r="AW33"/>
      <c r="AX33"/>
    </row>
    <row r="34" spans="1:50" s="23" customFormat="1" ht="19.149999999999999"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c r="AE34"/>
      <c r="AF34"/>
      <c r="AG34"/>
      <c r="AH34"/>
      <c r="AI34"/>
      <c r="AJ34"/>
      <c r="AK34"/>
      <c r="AL34"/>
      <c r="AM34"/>
      <c r="AN34"/>
      <c r="AO34"/>
      <c r="AP34"/>
      <c r="AQ34"/>
      <c r="AR34"/>
      <c r="AS34"/>
      <c r="AT34"/>
      <c r="AU34"/>
      <c r="AV34"/>
      <c r="AW34"/>
      <c r="AX34"/>
    </row>
    <row r="35" spans="1:50" s="23" customFormat="1" ht="21">
      <c r="A35" s="303"/>
      <c r="B35" s="303"/>
      <c r="C35" s="303"/>
      <c r="D35" s="307"/>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c r="AE35"/>
      <c r="AF35"/>
      <c r="AG35"/>
      <c r="AH35"/>
      <c r="AI35"/>
      <c r="AJ35"/>
      <c r="AK35"/>
      <c r="AL35"/>
      <c r="AM35"/>
      <c r="AN35"/>
      <c r="AO35"/>
      <c r="AP35"/>
      <c r="AQ35"/>
      <c r="AR35"/>
      <c r="AS35"/>
      <c r="AT35"/>
      <c r="AU35"/>
      <c r="AV35"/>
      <c r="AW35"/>
      <c r="AX35"/>
    </row>
    <row r="36" spans="1:50" s="23" customFormat="1" ht="21">
      <c r="A36" s="303"/>
      <c r="B36" s="303"/>
      <c r="C36" s="303"/>
      <c r="D36" s="307"/>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c r="AE36"/>
      <c r="AF36"/>
      <c r="AG36"/>
      <c r="AH36"/>
      <c r="AI36"/>
      <c r="AJ36"/>
      <c r="AK36"/>
      <c r="AL36"/>
      <c r="AM36"/>
      <c r="AN36"/>
      <c r="AO36"/>
      <c r="AP36"/>
      <c r="AQ36"/>
      <c r="AR36"/>
      <c r="AS36"/>
      <c r="AT36"/>
      <c r="AU36"/>
      <c r="AV36"/>
      <c r="AW36"/>
      <c r="AX36"/>
    </row>
    <row r="37" spans="1:50" s="23" customFormat="1" ht="6.6" customHeight="1">
      <c r="A37" s="303"/>
      <c r="B37" s="303"/>
      <c r="C37" s="303"/>
      <c r="D37" s="307"/>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c r="AE37"/>
      <c r="AF37"/>
      <c r="AG37"/>
      <c r="AH37"/>
      <c r="AI37"/>
      <c r="AJ37"/>
      <c r="AK37"/>
      <c r="AL37"/>
      <c r="AM37"/>
      <c r="AN37"/>
      <c r="AO37"/>
      <c r="AP37"/>
      <c r="AQ37"/>
      <c r="AR37"/>
      <c r="AS37"/>
      <c r="AT37"/>
      <c r="AU37"/>
      <c r="AV37"/>
      <c r="AW37"/>
      <c r="AX37"/>
    </row>
    <row r="38" spans="1:50" s="23" customFormat="1" ht="32.450000000000003" customHeight="1">
      <c r="A38" s="303"/>
      <c r="B38" s="303"/>
      <c r="C38" s="303"/>
      <c r="D38" s="307"/>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c r="AE38"/>
      <c r="AF38"/>
      <c r="AG38"/>
      <c r="AH38"/>
      <c r="AI38"/>
      <c r="AJ38"/>
      <c r="AK38"/>
      <c r="AL38"/>
      <c r="AM38"/>
      <c r="AN38"/>
      <c r="AO38"/>
      <c r="AP38"/>
      <c r="AQ38"/>
      <c r="AR38"/>
      <c r="AS38"/>
      <c r="AT38"/>
      <c r="AU38"/>
      <c r="AV38"/>
      <c r="AW38"/>
      <c r="AX38"/>
    </row>
    <row r="39" spans="1:50" s="23" customForma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c r="AE39"/>
      <c r="AF39"/>
      <c r="AG39"/>
      <c r="AH39"/>
      <c r="AI39"/>
      <c r="AJ39"/>
      <c r="AK39"/>
      <c r="AL39"/>
      <c r="AM39"/>
      <c r="AN39"/>
      <c r="AO39"/>
      <c r="AP39"/>
      <c r="AQ39"/>
      <c r="AR39"/>
      <c r="AS39"/>
      <c r="AT39"/>
      <c r="AU39"/>
      <c r="AV39"/>
      <c r="AW39"/>
      <c r="AX39"/>
    </row>
    <row r="40" spans="1:50" s="23" customFormat="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c r="AE40"/>
      <c r="AF40"/>
      <c r="AG40"/>
      <c r="AH40"/>
      <c r="AI40"/>
      <c r="AJ40"/>
      <c r="AK40"/>
      <c r="AL40"/>
      <c r="AM40"/>
      <c r="AN40"/>
      <c r="AO40"/>
      <c r="AP40"/>
      <c r="AQ40"/>
      <c r="AR40"/>
      <c r="AS40"/>
      <c r="AT40"/>
      <c r="AU40"/>
      <c r="AV40"/>
      <c r="AW40"/>
      <c r="AX40"/>
    </row>
    <row r="41" spans="1:50" s="23" customForma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c r="AE41"/>
      <c r="AF41"/>
      <c r="AG41"/>
      <c r="AH41"/>
      <c r="AI41"/>
      <c r="AJ41"/>
      <c r="AK41"/>
      <c r="AL41"/>
      <c r="AM41"/>
      <c r="AN41"/>
      <c r="AO41"/>
      <c r="AP41"/>
      <c r="AQ41"/>
      <c r="AR41"/>
      <c r="AS41"/>
      <c r="AT41"/>
      <c r="AU41"/>
      <c r="AV41"/>
      <c r="AW41"/>
      <c r="AX41"/>
    </row>
    <row r="42" spans="1:50" s="23" customFormat="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c r="AE42"/>
      <c r="AF42"/>
      <c r="AG42"/>
      <c r="AH42"/>
      <c r="AI42"/>
      <c r="AJ42"/>
      <c r="AK42"/>
      <c r="AL42"/>
      <c r="AM42"/>
      <c r="AN42"/>
      <c r="AO42"/>
      <c r="AP42"/>
      <c r="AQ42"/>
      <c r="AR42"/>
      <c r="AS42"/>
      <c r="AT42"/>
      <c r="AU42"/>
      <c r="AV42"/>
      <c r="AW42"/>
      <c r="AX42"/>
    </row>
    <row r="43" spans="1:50" s="23" customFormat="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c r="AE43"/>
      <c r="AF43"/>
      <c r="AG43"/>
      <c r="AH43"/>
      <c r="AI43"/>
      <c r="AJ43"/>
      <c r="AK43"/>
      <c r="AL43"/>
      <c r="AM43"/>
      <c r="AN43"/>
      <c r="AO43"/>
      <c r="AP43"/>
      <c r="AQ43"/>
      <c r="AR43"/>
      <c r="AS43"/>
      <c r="AT43"/>
      <c r="AU43"/>
      <c r="AV43"/>
      <c r="AW43"/>
      <c r="AX43"/>
    </row>
    <row r="44" spans="1:50" s="23" customFormat="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c r="AE44"/>
      <c r="AF44"/>
      <c r="AG44"/>
      <c r="AH44"/>
      <c r="AI44"/>
      <c r="AJ44"/>
      <c r="AK44"/>
      <c r="AL44"/>
      <c r="AM44"/>
      <c r="AN44"/>
      <c r="AO44"/>
      <c r="AP44"/>
      <c r="AQ44"/>
      <c r="AR44"/>
      <c r="AS44"/>
      <c r="AT44"/>
      <c r="AU44"/>
      <c r="AV44"/>
      <c r="AW44"/>
      <c r="AX44"/>
    </row>
    <row r="45" spans="1:50" s="23" customFormat="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c r="AE45"/>
      <c r="AF45"/>
      <c r="AG45"/>
      <c r="AH45"/>
      <c r="AI45"/>
      <c r="AJ45"/>
      <c r="AK45"/>
      <c r="AL45"/>
      <c r="AM45"/>
      <c r="AN45"/>
      <c r="AO45"/>
      <c r="AP45"/>
      <c r="AQ45"/>
      <c r="AR45"/>
      <c r="AS45"/>
      <c r="AT45"/>
      <c r="AU45"/>
      <c r="AV45"/>
      <c r="AW45"/>
      <c r="AX45"/>
    </row>
    <row r="46" spans="1:50" s="23" customFormat="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c r="AE46"/>
      <c r="AF46"/>
      <c r="AG46"/>
      <c r="AH46"/>
      <c r="AI46"/>
      <c r="AJ46"/>
      <c r="AK46"/>
      <c r="AL46"/>
      <c r="AM46"/>
      <c r="AN46"/>
      <c r="AO46"/>
      <c r="AP46"/>
      <c r="AQ46"/>
      <c r="AR46"/>
      <c r="AS46"/>
      <c r="AT46"/>
      <c r="AU46"/>
      <c r="AV46"/>
      <c r="AW46"/>
      <c r="AX46"/>
    </row>
    <row r="47" spans="1:50" s="23" customFormat="1">
      <c r="U47"/>
      <c r="V47"/>
      <c r="W47"/>
      <c r="X47"/>
      <c r="Y47"/>
      <c r="Z47"/>
      <c r="AA47"/>
      <c r="AB47"/>
      <c r="AC47"/>
      <c r="AD47"/>
      <c r="AE47"/>
      <c r="AF47"/>
      <c r="AG47"/>
      <c r="AH47"/>
      <c r="AI47"/>
      <c r="AJ47"/>
      <c r="AK47"/>
      <c r="AL47"/>
      <c r="AM47"/>
      <c r="AN47"/>
      <c r="AO47"/>
      <c r="AP47"/>
      <c r="AQ47"/>
      <c r="AR47"/>
      <c r="AS47"/>
      <c r="AT47"/>
      <c r="AU47"/>
      <c r="AV47"/>
      <c r="AW47"/>
      <c r="AX47"/>
    </row>
    <row r="48" spans="1:50" s="23" customFormat="1">
      <c r="U48"/>
      <c r="V48"/>
      <c r="W48"/>
      <c r="X48"/>
      <c r="Y48"/>
      <c r="Z48"/>
      <c r="AA48"/>
      <c r="AB48"/>
      <c r="AC48"/>
      <c r="AD48"/>
      <c r="AE48"/>
      <c r="AF48"/>
      <c r="AG48"/>
      <c r="AH48"/>
      <c r="AI48"/>
      <c r="AJ48"/>
      <c r="AK48"/>
      <c r="AL48"/>
      <c r="AM48"/>
      <c r="AN48"/>
      <c r="AO48"/>
      <c r="AP48"/>
      <c r="AQ48"/>
      <c r="AR48"/>
      <c r="AS48"/>
      <c r="AT48"/>
      <c r="AU48"/>
      <c r="AV48"/>
      <c r="AW48"/>
      <c r="AX48"/>
    </row>
    <row r="49" spans="4:50" s="23" customFormat="1">
      <c r="U49"/>
      <c r="V49"/>
      <c r="W49"/>
      <c r="X49"/>
      <c r="Y49"/>
      <c r="Z49"/>
      <c r="AA49"/>
      <c r="AB49"/>
      <c r="AC49"/>
      <c r="AD49"/>
      <c r="AE49"/>
      <c r="AF49"/>
      <c r="AG49"/>
      <c r="AH49"/>
      <c r="AI49"/>
      <c r="AJ49"/>
      <c r="AK49"/>
      <c r="AL49"/>
      <c r="AM49"/>
      <c r="AN49"/>
      <c r="AO49"/>
      <c r="AP49"/>
      <c r="AQ49"/>
      <c r="AR49"/>
      <c r="AS49"/>
      <c r="AT49"/>
      <c r="AU49"/>
      <c r="AV49"/>
      <c r="AW49"/>
      <c r="AX49"/>
    </row>
    <row r="50" spans="4:50" s="23" customFormat="1">
      <c r="U50"/>
      <c r="V50"/>
      <c r="W50"/>
      <c r="X50"/>
      <c r="Y50"/>
      <c r="Z50"/>
      <c r="AA50"/>
      <c r="AB50"/>
      <c r="AC50"/>
      <c r="AD50"/>
      <c r="AE50"/>
      <c r="AF50"/>
      <c r="AG50"/>
      <c r="AH50"/>
      <c r="AI50"/>
      <c r="AJ50"/>
      <c r="AK50"/>
      <c r="AL50"/>
      <c r="AM50"/>
      <c r="AN50"/>
      <c r="AO50"/>
      <c r="AP50"/>
      <c r="AQ50"/>
      <c r="AR50"/>
      <c r="AS50"/>
      <c r="AT50"/>
      <c r="AU50"/>
      <c r="AV50"/>
      <c r="AW50"/>
      <c r="AX50"/>
    </row>
    <row r="51" spans="4:50" s="23" customFormat="1">
      <c r="U51"/>
      <c r="V51"/>
      <c r="W51"/>
      <c r="X51"/>
      <c r="Y51"/>
      <c r="Z51"/>
      <c r="AA51"/>
      <c r="AB51"/>
      <c r="AC51"/>
      <c r="AD51"/>
      <c r="AE51"/>
      <c r="AF51"/>
      <c r="AG51"/>
      <c r="AH51"/>
      <c r="AI51"/>
      <c r="AJ51"/>
      <c r="AK51"/>
      <c r="AL51"/>
      <c r="AM51"/>
      <c r="AN51"/>
      <c r="AO51"/>
      <c r="AP51"/>
      <c r="AQ51"/>
      <c r="AR51"/>
      <c r="AS51"/>
      <c r="AT51"/>
      <c r="AU51"/>
      <c r="AV51"/>
      <c r="AW51"/>
      <c r="AX51"/>
    </row>
    <row r="52" spans="4:50" s="23" customFormat="1">
      <c r="U52"/>
      <c r="V52"/>
      <c r="W52"/>
      <c r="X52"/>
      <c r="Y52"/>
      <c r="Z52"/>
      <c r="AA52"/>
      <c r="AB52"/>
      <c r="AC52"/>
      <c r="AD52"/>
      <c r="AE52"/>
      <c r="AF52"/>
      <c r="AG52"/>
      <c r="AH52"/>
      <c r="AI52"/>
      <c r="AJ52"/>
      <c r="AK52"/>
      <c r="AL52"/>
      <c r="AM52"/>
      <c r="AN52"/>
      <c r="AO52"/>
      <c r="AP52"/>
      <c r="AQ52"/>
      <c r="AR52"/>
      <c r="AS52"/>
      <c r="AT52"/>
      <c r="AU52"/>
      <c r="AV52"/>
      <c r="AW52"/>
      <c r="AX52"/>
    </row>
    <row r="53" spans="4:50">
      <c r="D53" s="23"/>
      <c r="E53" s="23"/>
      <c r="F53" s="23"/>
      <c r="G53" s="23"/>
    </row>
    <row r="54" spans="4:50">
      <c r="D54" s="23"/>
      <c r="E54" s="23"/>
      <c r="F54" s="23"/>
      <c r="G54" s="23"/>
    </row>
    <row r="55" spans="4:50">
      <c r="D55" s="23"/>
      <c r="E55" s="23"/>
      <c r="F55" s="23"/>
      <c r="G55" s="23"/>
    </row>
    <row r="56" spans="4:50">
      <c r="D56" s="23"/>
      <c r="E56" s="23"/>
      <c r="F56" s="23"/>
      <c r="G56" s="23"/>
    </row>
    <row r="57" spans="4:50">
      <c r="D57" s="23"/>
      <c r="E57" s="23"/>
      <c r="F57" s="23"/>
      <c r="G57" s="23"/>
    </row>
    <row r="58" spans="4:50">
      <c r="D58" s="23"/>
      <c r="E58" s="23"/>
      <c r="F58" s="23"/>
      <c r="G58" s="23"/>
    </row>
    <row r="59" spans="4:50">
      <c r="D59" s="23"/>
      <c r="E59" s="23"/>
      <c r="F59" s="23"/>
      <c r="G59" s="23"/>
    </row>
    <row r="60" spans="4:50">
      <c r="D60" s="23"/>
      <c r="E60" s="23"/>
      <c r="F60" s="23"/>
      <c r="G60" s="23"/>
    </row>
    <row r="61" spans="4:50">
      <c r="D61" s="23"/>
      <c r="E61" s="23"/>
      <c r="F61" s="23"/>
      <c r="G61" s="23"/>
    </row>
    <row r="62" spans="4:50">
      <c r="D62" s="23"/>
      <c r="E62" s="23"/>
      <c r="F62" s="23"/>
      <c r="G62" s="23"/>
    </row>
    <row r="63" spans="4:50">
      <c r="D63" s="23"/>
      <c r="E63" s="23"/>
      <c r="F63" s="23"/>
      <c r="G63" s="23"/>
    </row>
    <row r="64" spans="4:50">
      <c r="D64" s="23"/>
      <c r="E64" s="23"/>
      <c r="F64" s="23"/>
      <c r="G64" s="23"/>
    </row>
    <row r="65" spans="4:7">
      <c r="D65" s="23"/>
      <c r="E65" s="23"/>
      <c r="F65" s="23"/>
      <c r="G65" s="23"/>
    </row>
    <row r="66" spans="4:7">
      <c r="D66" s="23"/>
      <c r="E66" s="23"/>
      <c r="F66" s="23"/>
      <c r="G66" s="23"/>
    </row>
    <row r="67" spans="4:7">
      <c r="D67" s="23"/>
      <c r="E67" s="23"/>
      <c r="F67" s="23"/>
      <c r="G67" s="23"/>
    </row>
    <row r="68" spans="4:7">
      <c r="D68" s="23"/>
      <c r="E68" s="23"/>
      <c r="F68" s="23"/>
      <c r="G68" s="23"/>
    </row>
    <row r="69" spans="4:7">
      <c r="D69" s="23"/>
      <c r="E69" s="23"/>
      <c r="F69" s="23"/>
      <c r="G69" s="23"/>
    </row>
    <row r="70" spans="4:7">
      <c r="D70" s="23"/>
      <c r="E70" s="23"/>
      <c r="F70" s="23"/>
      <c r="G70" s="23"/>
    </row>
    <row r="71" spans="4:7">
      <c r="D71" s="23"/>
      <c r="E71" s="23"/>
      <c r="F71" s="23"/>
      <c r="G71" s="23"/>
    </row>
    <row r="72" spans="4:7">
      <c r="D72" s="23"/>
      <c r="E72" s="23"/>
      <c r="F72" s="23"/>
      <c r="G72" s="23"/>
    </row>
    <row r="73" spans="4:7">
      <c r="D73" s="23"/>
      <c r="E73" s="23"/>
      <c r="F73" s="23"/>
      <c r="G73" s="23"/>
    </row>
    <row r="74" spans="4:7">
      <c r="D74" s="23"/>
      <c r="E74" s="23"/>
      <c r="F74" s="23"/>
      <c r="G74" s="23"/>
    </row>
    <row r="75" spans="4:7">
      <c r="D75" s="23"/>
      <c r="E75" s="23"/>
      <c r="F75" s="23"/>
      <c r="G75" s="23"/>
    </row>
    <row r="76" spans="4:7">
      <c r="D76" s="23"/>
      <c r="E76" s="23"/>
      <c r="F76" s="23"/>
      <c r="G76" s="23"/>
    </row>
    <row r="77" spans="4:7">
      <c r="D77" s="23"/>
      <c r="E77" s="23"/>
      <c r="F77" s="23"/>
      <c r="G77" s="23"/>
    </row>
    <row r="78" spans="4:7">
      <c r="D78" s="23"/>
      <c r="E78" s="23"/>
      <c r="F78" s="23"/>
      <c r="G78" s="23"/>
    </row>
    <row r="79" spans="4:7">
      <c r="D79" s="23"/>
      <c r="E79" s="23"/>
      <c r="F79" s="23"/>
      <c r="G79" s="23"/>
    </row>
    <row r="80" spans="4:7">
      <c r="D80" s="23"/>
      <c r="E80" s="23"/>
      <c r="F80" s="23"/>
      <c r="G80" s="23"/>
    </row>
    <row r="81" spans="4:7">
      <c r="D81" s="23"/>
      <c r="E81" s="23"/>
      <c r="F81" s="23"/>
      <c r="G81" s="23"/>
    </row>
    <row r="82" spans="4:7">
      <c r="D82" s="23"/>
      <c r="E82" s="23"/>
      <c r="F82" s="23"/>
      <c r="G82" s="23"/>
    </row>
  </sheetData>
  <mergeCells count="12">
    <mergeCell ref="B22:B29"/>
    <mergeCell ref="D6:E7"/>
    <mergeCell ref="F6:G7"/>
    <mergeCell ref="H6:I8"/>
    <mergeCell ref="F8:F9"/>
    <mergeCell ref="G8:G9"/>
    <mergeCell ref="B10:B16"/>
    <mergeCell ref="D18:E19"/>
    <mergeCell ref="F18:G19"/>
    <mergeCell ref="H18:I20"/>
    <mergeCell ref="F20:F21"/>
    <mergeCell ref="G20:G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V i s u a l i z a t i o n   x m l n s : x s i = " h t t p : / / w w w . w 3 . o r g / 2 0 0 1 / X M L S c h e m a - i n s t a n c e "   x m l n s : x s d = " h t t p : / / w w w . w 3 . o r g / 2 0 0 1 / X M L S c h e m a "   x m l n s = " h t t p : / / m i c r o s o f t . d a t a . v i s u a l i z a t i o n . C l i e n t . E x c e l / 1 . 0 " > < T o u r s > < T o u r   N a m e = " O m v i s n i n g   1 "   I d = " { 4 1 7 A 2 0 6 B - 9 B 1 A - 4 E F A - B 3 E C - F E 2 B B D F 5 E E B 1 } "   T o u r I d = " c 2 d 1 5 8 1 7 - 4 f 4 b - 4 e 1 9 - a d 1 b - 0 2 5 d 7 c 0 b 2 4 8 4 "   X m l V e r = " 6 "   M i n X m l V e r = " 3 " > < D e s c r i p t i o n > L e g g   i n n   e n   b e s k r i v e l s e   a v   o m v i s n i n g e n   h e r < / D e s c r i p t i o n > < I m a g e > i V B O R w 0 K G g o A A A A N S U h E U g A A A N Q A A A B 1 C A Y A A A A 2 n s 9 T A A A A A X N S R 0 I A r s 4 c 6 Q A A A A R n Q U 1 B A A C x j w v 8 Y Q U A A A A J c E h Z c w A A A i w A A A I s A T c h f Q A A A A V H S U R B V H h e 7 d 3 b b 9 N 2 G I f x N 0 6 T p m l O N m 1 H S 0 H s x D T Q Q J r E J r S r 7 U + f 0 K 5 2 B A k Q 2 9 q t 9 M A K t Z M 0 T U h I 4 u U H L x O w U n J w E h + e z 0 X r b + 8 f J b U T O 3 W 4 v + 0 L g E B Y + h t A A A g K C B B B A Q E i K C B A B A U E i K C A A B E U E C C C A g J E U E C A C A o I E E E B A S I o I E A E B Q S I o I A A E R Q Q I I I C A k R Q Q I C s 1 L M 9 P Q Q w K c t e L + k h g E l Z 7 p O 0 W K 0 t n Q A m Y c l C X i o b K z o B T O L F S Q n 3 a V a y r b s v / g B g f C / P 8 q V z U l i / 9 O I Q w P j + O 2 3 u V k u S a / 2 k C 8 A 4 X r s O l Z L 8 + q d 6 D G A c b 1 z Y d a t F W f b v 6 Q I w q j e C M q 9 S m Q J n / I B x v R W U S P V k T c q 5 H V 0 A R v G / o A y f x w c A Y z k 1 q H r 7 k p T z B 7 o A D O v U o I z n x 9 7 g J y 9 V w C j e G V Q z f V W c S l 0 X g G G 8 M y i j s f t w 8 J N X K W B Y Z w b V K d z k V Q o Y w Z l B G f X 9 X Z F + R x e A s 7 w 3 q G 7 + m j j n 2 r o A n O W 9 Q R n e 9 r a k u g 1 d A N 5 l q K D 8 y n W x V z k 5 A b z P U E E Z 3 k F D r O a f u g C c Z u i g / N y 6 V C 6 s 6 Q J w m q G D M t z D v i y c 3 N c F 4 G 0 j B S W Z s p Q 2 L + g A 8 L b R g h p w j 7 K y U L u t C 8 D r R g 5 K r J y U L t / Q A e B 1 o w c 1 4 L p 5 W T z 5 Q R e A V 8 Y K S l J p y W 9 c 1 Q H g l f G C G v B q F V n u / q Y L g D F 2 U E a m u K p H A I y J g q q 2 N q S 0 w K c n g F c m C s r w e z 0 9 A j B x U M f + F a k s / 6 M L S L a J g z L a L v f x A 4 x A g m o t 3 h S 7 b O 6 S B C R b I E E Z z b 0 H g 3 + o + r q A Z A o s q H b h l j j O i S 4 g m Q I L y q h t 3 R H p E R W S K 9 C g e v Y 3 4 q z w t g / J F W h Q h r e z M 3 j / d 6 g L S J b A g / K L 1 8 Q 5 v 6 Q L S J b A g z K 8 / a q k T n 7 X B S T H V I L y l y 6 K v X l e F 5 A c U w n K c A 9 7 Y t V + 1 g U k w 9 S C k k x F K p c / 0 Q E k w / S C G n C 9 E k 9 C R K J M N S i j + f g v 8 z h E X U C 8 T T 2 o 5 6 V b 4 n D D W S T E 1 I M y X D c n u f Y v u o D 4 m k l Q k s p I Z r m s A 4 i v 2 Q Q 1 c N z 9 i M e L I v Z m F p T h P f E l 7 X 6 v C 4 i f m Q b l Z 8 p S v v y F L i B + Z h q U 4 d Z t 3 v o h t m Y e l O H t 7 o r V 2 t Y F x M d c g v I L V 6 V 8 v q I L i I + 5 B G V 4 N V v K u U e 6 g H i Y W 1 B G 6 + m B S L + j C 4 i + u Q b V K X w l z r m 2 L i D 6 5 h q U 4 R 7 l J P + c 7 0 0 h H u Y e l F g Z s b L m H h T + y w 1 E 2 P y D G m j 4 n 4 t j N 3 Q B 0 R W K o A z 3 c U v S z f u 6 g G g K T V C y u C a l t R U d Q D S F J 6 g B r 7 E q d v G p L i B 6 Q h W U c X y w L 9 I h K k R T 6 I L q F q 6 L 8 8 G i L i B a Q h e U 4 X o F K a X / 0 A V E R y i D E k l J 9 + R I x O / q B q I h p E G J N H N f i + O 0 d A H R E N q g D O 8 o I 9 n W H V 1 A + I U 6 K N / K y Z L t 6 A L C L 9 R B G b V n m 3 x l H p E R + q C M 6 s E T S T U e 6 g L C K x J B 9 Z c + F v v i u i 4 g v C I R l G G u T V X y j 3 U B 4 R S Z o M y 1 q e b e P Z E e p 9 I R X h E K S q R j f y f O C h d 7 E V 6 R C s o w X 5 n P d e 7 q A s I l c k G Z r 8 x n c n x 4 F u E U v a A G j v t X x L F 5 K i L C J 5 J B G e 5 e T a w a D 3 F D u E Q 2 K M l v S v n S h z q A c I h u U A N e r S J 2 2 d M F z F + k g z L q W 7 9 K q l v T B c x X 5 I P q n f t W 7 N W U L m C + I h + U 4 X p F K a Q e 6 A L m J x Z B m Y 8 l 9 d t N P Q b m J y Z B i T S z X 3 J t C n M X m 6 A M 9 7 A v C / X b u o D Z i 1 V Q k i l L c e M z H c D s x S u o A X M 7 Z 9 7 6 Y V 5 i F 5 R R 3 X k k V m t L F z A 7 s Q y q X z R P m e d u S Z i 9 W A Z l m I 8 l l b J / 6 w J m I 7 Z B G e 1 6 V a T L k x E x O / E O K n d D n F W e 3 Y v Z i X V Q h u v m Z a n 9 o y 5 g m k T + B f k n F n E M d m f 0 A A A A A E l F T k S u Q m C C < / I m a g e > < / T o u r > < / T o u r s > < / V i s u a l i z a t i o n > 
</file>

<file path=customXml/item2.xml><?xml version="1.0" encoding="utf-8"?>
<ct:contentTypeSchema xmlns:ct="http://schemas.microsoft.com/office/2006/metadata/contentType" xmlns:ma="http://schemas.microsoft.com/office/2006/metadata/properties/metaAttributes" ct:_="" ma:_="" ma:contentTypeName="Dokument" ma:contentTypeID="0x01010025B6989D2CB202408900E5E113BD8296" ma:contentTypeVersion="15" ma:contentTypeDescription="Opprett et nytt dokument." ma:contentTypeScope="" ma:versionID="5aedebac8af7e6f59eae2827a59f7d92">
  <xsd:schema xmlns:xsd="http://www.w3.org/2001/XMLSchema" xmlns:xs="http://www.w3.org/2001/XMLSchema" xmlns:p="http://schemas.microsoft.com/office/2006/metadata/properties" xmlns:ns2="786bbe9d-4a08-46f1-887d-9966b9a2d4be" xmlns:ns3="7ef1bffb-26ab-4d3f-8ca3-1784252b7d9c" targetNamespace="http://schemas.microsoft.com/office/2006/metadata/properties" ma:root="true" ma:fieldsID="8f4f8bc87923b7bd5ca91106df6e0656" ns2:_="" ns3:_="">
    <xsd:import namespace="786bbe9d-4a08-46f1-887d-9966b9a2d4be"/>
    <xsd:import namespace="7ef1bffb-26ab-4d3f-8ca3-1784252b7d9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bbe9d-4a08-46f1-887d-9966b9a2d4b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emerkelapper" ma:readOnly="false" ma:fieldId="{5cf76f15-5ced-4ddc-b409-7134ff3c332f}" ma:taxonomyMulti="true" ma:sspId="b4d80d10-9a47-48d1-9541-931886bfefe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f1bffb-26ab-4d3f-8ca3-1784252b7d9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a74fe71-f9eb-43f3-a35b-2bd650a2cdb9}" ma:internalName="TaxCatchAll" ma:showField="CatchAllData" ma:web="7ef1bffb-26ab-4d3f-8ca3-1784252b7d9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7ef1bffb-26ab-4d3f-8ca3-1784252b7d9c" xsi:nil="true"/>
    <lcf76f155ced4ddcb4097134ff3c332f xmlns="786bbe9d-4a08-46f1-887d-9966b9a2d4be">
      <Terms xmlns="http://schemas.microsoft.com/office/infopath/2007/PartnerControls"/>
    </lcf76f155ced4ddcb4097134ff3c332f>
  </documentManagement>
</p:properties>
</file>

<file path=customXml/item5.xml>��< ? x m l   v e r s i o n = " 1 . 0 "   e n c o d i n g = " u t f - 1 6 " ? > < T o u r   x m l n s : x s i = " h t t p : / / w w w . w 3 . o r g / 2 0 0 1 / X M L S c h e m a - i n s t a n c e "   x m l n s : x s d = " h t t p : / / w w w . w 3 . o r g / 2 0 0 1 / X M L S c h e m a "   N a m e = " O m v i s n i n g   1 "   D e s c r i p t i o n = " L e g g   i n n   e n   b e s k r i v e l s e   a v   o m v i s n i n g e n   h e r "   x m l n s = " h t t p : / / m i c r o s o f t . d a t a . v i s u a l i z a t i o n . e n g i n e . t o u r s / 1 . 0 " > < S c e n e s > < S c e n e   C u s t o m M a p G u i d = " 0 0 0 0 0 0 0 0 - 0 0 0 0 - 0 0 0 0 - 0 0 0 0 - 0 0 0 0 0 0 0 0 0 0 0 0 "   C u s t o m M a p I d = " 0 0 0 0 0 0 0 0 - 0 0 0 0 - 0 0 0 0 - 0 0 0 0 - 0 0 0 0 0 0 0 0 0 0 0 0 "   S c e n e I d = " f 1 7 9 9 3 a a - 8 a 2 b - 4 e 6 d - a 4 0 8 - 8 0 f 6 8 e 8 b b 7 6 6 " > < T r a n s i t i o n > M o v e T o < / T r a n s i t i o n > < E f f e c t > S t a t i o n < / E f f e c t > < T h e m e > B i n g R o a d < / T h e m e > < T h e m e W i t h L a b e l > f a l s e < / T h e m e W i t h L a b e l > < F l a t M o d e E n a b l e d > f a l s e < / F l a t M o d e E n a b l e d > < D u r a t i o n > 1 0 0 0 0 0 0 0 0 < / D u r a t i o n > < T r a n s i t i o n D u r a t i o n > 3 0 0 0 0 0 0 0 < / T r a n s i t i o n D u r a t i o n > < S p e e d > 0 . 5 < / S p e e d > < F r a m e > < C a m e r a > < L a t i t u d e > 3 2 . 9 7 4 0 9 1 6 6 0 5 7 2 9 3 8 < / L a t i t u d e > < L o n g i t u d e > 4 . 3 5 7 4 0 0 6 8 7 1 6 8 4 8 6 7 < / L o n g i t u d e > < R o t a t i o n > 0 < / R o t a t i o n > < P i v o t A n g l e > - 0 . 0 3 3 4 8 7 4 8 6 5 1 0 7 8 8 2 2 1 < / P i v o t A n g l e > < D i s t a n c e > 0 . 0 0 0 9 1 2 6 1 2 2 7 0 8 4 7 5 4 3 7 6 < / D i s t a n c e > < / C a m e r a > < I m a g e > i V B O R w 0 K G g o A A A A N S U h E U g A A A N Q A A A B 1 C A Y A A A A 2 n s 9 T A A A A A X N S R 0 I A r s 4 c 6 Q A A A A R n Q U 1 B A A C x j w v 8 Y Q U A A A A J c E h Z c w A A A i w A A A I s A T c h f Q A A A A V H S U R B V H h e 7 d 3 b b 9 N 2 G I f x N 0 6 T p m l O N m 1 H S 0 H s x D T Q Q J r E J r S r 7 U + f 0 K 5 2 B A k Q 2 9 q t 9 M A K t Z M 0 T U h I 4 u U H L x O w U n J w E h + e z 0 X r b + 8 f J b U T O 3 W 4 v + 0 L g E B Y + h t A A A g K C B B B A Q E i K C B A B A U E i K C A A B E U E C C C A g J E U E C A C A o I E E E B A S I o I E A E B Q S I o I A A E R Q Q I I I C A k R Q Q I C s 1 L M 9 P Q Q w K c t e L + k h g E l Z 7 p O 0 W K 0 t n Q A m Y c l C X i o b K z o B T O L F S Q n 3 a V a y r b s v / g B g f C / P 8 q V z U l i / 9 O I Q w P j + O 2 3 u V k u S a / 2 k C 8 A 4 X r s O l Z L 8 + q d 6 D G A c b 1 z Y d a t F W f b v 6 Q I w q j e C M q 9 S m Q J n / I B x v R W U S P V k T c q 5 H V 0 A R v G / o A y f x w c A Y z k 1 q H r 7 k p T z B 7 o A D O v U o I z n x 9 7 g J y 9 V w C j e G V Q z f V W c S l 0 X g G G 8 M y i j s f t w 8 J N X K W B Y Z w b V K d z k V Q o Y w Z l B G f X 9 X Z F + R x e A s 7 w 3 q G 7 + m j j n 2 r o A n O W 9 Q R n e 9 r a k u g 1 d A N 5 l q K D 8 y n W x V z k 5 A b z P U E E Z 3 k F D r O a f u g C c Z u i g / N y 6 V C 6 s 6 Q J w m q G D M t z D v i y c 3 N c F 4 G 0 j B S W Z s p Q 2 L + g A 8 L b R g h p w j 7 K y U L u t C 8 D r R g 5 K r J y U L t / Q A e B 1 o w c 1 4 L p 5 W T z 5 Q R e A V 8 Y K S l J p y W 9 c 1 Q H g l f G C G v B q F V n u / q Y L g D F 2 U E a m u K p H A I y J g q q 2 N q S 0 w K c n g F c m C s r w e z 0 9 A j B x U M f + F a k s / 6 M L S L a J g z L a L v f x A 4 x A g m o t 3 h S 7 b O 6 S B C R b I E E Z z b 0 H g 3 + o + r q A Z A o s q H b h l j j O i S 4 g m Q I L y q h t 3 R H p E R W S K 9 C g e v Y 3 4 q z w t g / J F W h Q h r e z M 3 j / d 6 g L S J b A g / K L 1 8 Q 5 v 6 Q L S J b A g z K 8 / a q k T n 7 X B S T H V I L y l y 6 K v X l e F 5 A c U w n K c A 9 7 Y t V + 1 g U k w 9 S C k k x F K p c / 0 Q E k w / S C G n C 9 E k 9 C R K J M N S i j + f g v 8 z h E X U C 8 T T 2 o 5 6 V b 4 n D D W S T E 1 I M y X D c n u f Y v u o D 4 m k l Q k s p I Z r m s A 4 i v 2 Q Q 1 c N z 9 i M e L I v Z m F p T h P f E l 7 X 6 v C 4 i f m Q b l Z 8 p S v v y F L i B + Z h q U 4 d Z t 3 v o h t m Y e l O H t 7 o r V 2 t Y F x M d c g v I L V 6 V 8 v q I L i I + 5 B G V 4 N V v K u U e 6 g H i Y W 1 B G 6 + m B S L + j C 4 i + u Q b V K X w l z r m 2 L i D 6 5 h q U 4 R 7 l J P + c 7 0 0 h H u Y e l F g Z s b L m H h T + y w 1 E 2 P y D G m j 4 n 4 t j N 3 Q B 0 R W K o A z 3 c U v S z f u 6 g G g K T V C y u C a l t R U d Q D S F J 6 g B r 7 E q d v G p L i B 6 Q h W U c X y w L 9 I h K k R T 6 I L q F q 6 L 8 8 G i L i B a Q h e U 4 X o F K a X / 0 A V E R y i D E k l J 9 + R I x O / q B q I h p E G J N H N f i + O 0 d A H R E N q g D O 8 o I 9 n W H V 1 A + I U 6 K N / K y Z L t 6 A L C L 9 R B G b V n m 3 x l H p E R + q C M 6 s E T S T U e 6 g L C K x J B 9 Z c + F v v i u i 4 g v C I R l G G u T V X y j 3 U B 4 R S Z o M y 1 q e b e P Z E e p 9 I R X h E K S q R j f y f O C h d 7 E V 6 R C s o w X 5 n P d e 7 q A s I l c k G Z r 8 x n c n x 4 F u E U v a A G j v t X x L F 5 K i L C J 5 J B G e 5 e T a w a D 3 F D u E Q 2 K M l v S v n S h z q A c I h u U A N e r S J 2 2 d M F z F + k g z L q W 7 9 K q l v T B c x X 5 I P q n f t W 7 N W U L m C + I h + U 4 X p F K a Q e 6 A L m J x Z B m Y 8 l 9 d t N P Q b m J y Z B i T S z X 3 J t C n M X m 6 A M 9 7 A v C / X b u o D Z i 1 V Q k i l L c e M z H c D s x S u o A X M 7 Z 9 7 6 Y V 5 i F 5 R R 3 X k k V m t L F z A 7 s Q y q X z R P m e d u S Z i 9 W A Z l m I 8 l l b J / 6 w J m I 7 Z B G e 1 6 V a T L k x E x O / E O K n d D n F W e 3 Y v Z i X V Q h u v m Z a n 9 o y 5 g m k T + B f k n F n E M d m f 0 A A A A A E l F T k S u Q m C C < / 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 N a m e = " L a g   1 "   G u i d = " 1 1 c 3 2 5 8 6 - 4 b 6 7 - 4 e c a - a d c 4 - 5 6 8 1 8 3 d 5 c 5 0 6 "   R e v = " 1 "   R e v G u i d = " b 2 e f 6 8 e 4 - 9 0 d 9 - 4 2 a 5 - 9 b f 1 - e b 8 1 b 9 7 b b 3 a a " 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EE3626BF-B2B4-40CB-89CB-41F1821C2609}"/>
</file>

<file path=customXml/itemProps2.xml><?xml version="1.0" encoding="utf-8"?>
<ds:datastoreItem xmlns:ds="http://schemas.openxmlformats.org/officeDocument/2006/customXml" ds:itemID="{9794D635-A2A1-4487-860F-8A48EB4E97E5}"/>
</file>

<file path=customXml/itemProps3.xml><?xml version="1.0" encoding="utf-8"?>
<ds:datastoreItem xmlns:ds="http://schemas.openxmlformats.org/officeDocument/2006/customXml" ds:itemID="{7E2AA3B1-D679-4BA7-AAF8-13E4837C3DD9}"/>
</file>

<file path=customXml/itemProps4.xml><?xml version="1.0" encoding="utf-8"?>
<ds:datastoreItem xmlns:ds="http://schemas.openxmlformats.org/officeDocument/2006/customXml" ds:itemID="{0A1EFF27-D5BB-4E6C-A9F1-C07546146A87}"/>
</file>

<file path=customXml/itemProps5.xml><?xml version="1.0" encoding="utf-8"?>
<ds:datastoreItem xmlns:ds="http://schemas.openxmlformats.org/officeDocument/2006/customXml" ds:itemID="{417A206B-9B1A-4EFA-B3EC-FE2BBDF5EEB1}"/>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Mikael Fønhus</dc:creator>
  <cp:keywords/>
  <dc:description/>
  <cp:lastModifiedBy/>
  <cp:revision/>
  <dcterms:created xsi:type="dcterms:W3CDTF">2016-05-19T10:41:08Z</dcterms:created>
  <dcterms:modified xsi:type="dcterms:W3CDTF">2024-11-04T07:43:20Z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0x01010025B6989D2CB202408900E5E113BD8296</vt:lpwstr>
  </property>
  <property fmtid="{D5CDD505-2E9C-101B-9397-08002B2CF9AE}" pid="3" name="SkogkursDokumenttype">
    <vt:lpwstr>17;#Arbeidsdokument|d3bd8bfb-cd02-4979-a22f-832f746211ac</vt:lpwstr>
  </property>
  <property fmtid="{D5CDD505-2E9C-101B-9397-08002B2CF9AE}" pid="4" name="SkogkursOrganisasjon">
    <vt:lpwstr>6;#Skogkurs|c70ab0b2-6b57-410e-bd8b-9cdd4a188677</vt:lpwstr>
  </property>
  <property fmtid="{D5CDD505-2E9C-101B-9397-08002B2CF9AE}" pid="5" name="SkogkursFaggruppe">
    <vt:lpwstr>25;#Hogst og Skogsdrift|a6e39a63-9d60-43f0-9080-fdd0afc74b9d</vt:lpwstr>
  </property>
  <property fmtid="{D5CDD505-2E9C-101B-9397-08002B2CF9AE}" pid="6" name="AuthorIds_UIVersion_1536">
    <vt:lpwstr>22</vt:lpwstr>
  </property>
  <property fmtid="{D5CDD505-2E9C-101B-9397-08002B2CF9AE}" pid="7" name="xd_ProgID">
    <vt:lpwstr/>
  </property>
  <property fmtid="{D5CDD505-2E9C-101B-9397-08002B2CF9AE}" pid="8" name="MediaServiceImageTags">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AuthorIds_UIVersion_1024">
    <vt:lpwstr>22</vt:lpwstr>
  </property>
  <property fmtid="{D5CDD505-2E9C-101B-9397-08002B2CF9AE}" pid="14" name="xd_Signature">
    <vt:bool>false</vt:bool>
  </property>
</Properties>
</file>